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aillantgroup-my.sharepoint.com/personal/iurdana_roda_vaillant-group_com/Documents/ESCRITORIO/2_FINANCIACION'24/1_FINANCIACION BC/ENTIDADES FINANCIERAS/BBVA/BBVA CALCULADORAS PERSONAS FISICAS/2024/CALCULADORAS/CALCULADORA MAYO 2024/"/>
    </mc:Choice>
  </mc:AlternateContent>
  <xr:revisionPtr revIDLastSave="18" documentId="11_91E6247FCCE95C83FD797DEABBF97853937D403C" xr6:coauthVersionLast="47" xr6:coauthVersionMax="47" xr10:uidLastSave="{2F5F0214-6E4B-46C9-9BAC-8E0C774E45EF}"/>
  <bookViews>
    <workbookView minimized="1" xWindow="288" yWindow="348" windowWidth="21600" windowHeight="11232" xr2:uid="{00000000-000D-0000-FFFF-FFFF00000000}"/>
  </bookViews>
  <sheets>
    <sheet name="SUANIER - BBVA" sheetId="2" r:id="rId1"/>
    <sheet name="Hoja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13" i="2" l="1"/>
  <c r="C13" i="2"/>
  <c r="B25" i="2" l="1"/>
  <c r="D11" i="1" l="1"/>
  <c r="D12" i="1"/>
  <c r="D13" i="1"/>
  <c r="D14" i="1"/>
  <c r="D15" i="1"/>
  <c r="D16" i="1"/>
  <c r="D17" i="1"/>
  <c r="D18" i="1"/>
  <c r="D19" i="1"/>
  <c r="D20" i="1"/>
  <c r="D10" i="1"/>
  <c r="C37" i="2" l="1"/>
  <c r="C36" i="2"/>
  <c r="C27" i="2"/>
  <c r="C28" i="2"/>
  <c r="C29" i="2"/>
  <c r="C30" i="2"/>
  <c r="C31" i="2"/>
  <c r="C32" i="2"/>
  <c r="C33" i="2"/>
  <c r="C34" i="2"/>
  <c r="C35" i="2"/>
  <c r="C26" i="2"/>
  <c r="U2" i="1"/>
  <c r="Q2" i="1"/>
  <c r="C20" i="2" l="1"/>
  <c r="C21" i="2"/>
  <c r="C22" i="2"/>
  <c r="C23" i="2"/>
  <c r="C19" i="2"/>
  <c r="D14" i="2"/>
  <c r="D15" i="2"/>
  <c r="D16" i="2"/>
  <c r="F2" i="1"/>
  <c r="F1" i="1"/>
  <c r="C14" i="2"/>
  <c r="C15" i="2"/>
  <c r="C16" i="2"/>
  <c r="C17" i="2"/>
  <c r="U10" i="1"/>
  <c r="U8" i="1"/>
  <c r="V4" i="1"/>
  <c r="V3" i="1"/>
  <c r="Q10" i="1"/>
  <c r="Q8" i="1"/>
  <c r="R4" i="1"/>
  <c r="D7" i="2" s="1"/>
  <c r="R3" i="1"/>
  <c r="E22" i="1" l="1"/>
  <c r="G38" i="2" s="1"/>
  <c r="F23" i="1"/>
  <c r="E23" i="1"/>
  <c r="G39" i="2" s="1"/>
  <c r="F22" i="1"/>
  <c r="L20" i="1"/>
  <c r="E21" i="1"/>
  <c r="G37" i="2" s="1"/>
  <c r="F21" i="1"/>
  <c r="E7" i="2"/>
  <c r="F7" i="2"/>
  <c r="M29" i="1"/>
  <c r="D22" i="2" s="1"/>
  <c r="L19" i="1"/>
  <c r="L22" i="1"/>
  <c r="L21" i="1"/>
  <c r="L18" i="1"/>
  <c r="Q9" i="1"/>
  <c r="Q12" i="1" s="1"/>
  <c r="Q15" i="1"/>
  <c r="U9" i="1"/>
  <c r="U12" i="1" s="1"/>
  <c r="U15" i="1"/>
  <c r="U26" i="1"/>
  <c r="U33" i="1"/>
  <c r="U25" i="1"/>
  <c r="U17" i="1"/>
  <c r="U16" i="1"/>
  <c r="U32" i="1"/>
  <c r="U24" i="1"/>
  <c r="U39" i="1"/>
  <c r="U31" i="1"/>
  <c r="U23" i="1"/>
  <c r="U34" i="1"/>
  <c r="U38" i="1"/>
  <c r="U22" i="1"/>
  <c r="U37" i="1"/>
  <c r="U29" i="1"/>
  <c r="U21" i="1"/>
  <c r="U18" i="1"/>
  <c r="U36" i="1"/>
  <c r="U28" i="1"/>
  <c r="U20" i="1"/>
  <c r="U30" i="1"/>
  <c r="U35" i="1"/>
  <c r="U27" i="1"/>
  <c r="U19" i="1"/>
  <c r="Q36" i="1"/>
  <c r="Q21" i="1"/>
  <c r="Q34" i="1"/>
  <c r="Q26" i="1"/>
  <c r="Q18" i="1"/>
  <c r="Q29" i="1"/>
  <c r="Q20" i="1"/>
  <c r="Q35" i="1"/>
  <c r="Q19" i="1"/>
  <c r="Q33" i="1"/>
  <c r="Q25" i="1"/>
  <c r="Q17" i="1"/>
  <c r="Q32" i="1"/>
  <c r="Q24" i="1"/>
  <c r="Q39" i="1"/>
  <c r="Q37" i="1"/>
  <c r="Q28" i="1"/>
  <c r="Q27" i="1"/>
  <c r="Q16" i="1"/>
  <c r="Q23" i="1"/>
  <c r="Q31" i="1"/>
  <c r="Q38" i="1"/>
  <c r="Q30" i="1"/>
  <c r="Q22" i="1"/>
  <c r="N29" i="1"/>
  <c r="K19" i="1"/>
  <c r="K30" i="1"/>
  <c r="K28" i="1"/>
  <c r="K26" i="1"/>
  <c r="N27" i="1"/>
  <c r="L26" i="1"/>
  <c r="L28" i="1"/>
  <c r="L30" i="1"/>
  <c r="K20" i="1"/>
  <c r="M26" i="1"/>
  <c r="M28" i="1"/>
  <c r="M30" i="1"/>
  <c r="N26" i="1"/>
  <c r="N28" i="1"/>
  <c r="N30" i="1"/>
  <c r="K21" i="1"/>
  <c r="K27" i="1"/>
  <c r="K29" i="1"/>
  <c r="L27" i="1"/>
  <c r="L29" i="1"/>
  <c r="K18" i="1"/>
  <c r="K22" i="1"/>
  <c r="M27" i="1"/>
  <c r="N21" i="1"/>
  <c r="M18" i="1"/>
  <c r="M22" i="1"/>
  <c r="M20" i="1"/>
  <c r="N20" i="1"/>
  <c r="M19" i="1"/>
  <c r="M21" i="1"/>
  <c r="N18" i="1"/>
  <c r="N22" i="1"/>
  <c r="N19" i="1"/>
  <c r="M10" i="1"/>
  <c r="N12" i="1"/>
  <c r="E15" i="2" s="1"/>
  <c r="N13" i="1"/>
  <c r="E16" i="2" s="1"/>
  <c r="M13" i="1"/>
  <c r="M12" i="1"/>
  <c r="M11" i="1"/>
  <c r="M14" i="1"/>
  <c r="D17" i="2" s="1"/>
  <c r="N10" i="1"/>
  <c r="E13" i="2" s="1"/>
  <c r="N11" i="1"/>
  <c r="E14" i="2" s="1"/>
  <c r="N14" i="1"/>
  <c r="E17" i="2" s="1"/>
  <c r="E14" i="1"/>
  <c r="G30" i="2" s="1"/>
  <c r="F19" i="1"/>
  <c r="F11" i="1"/>
  <c r="E13" i="1"/>
  <c r="G29" i="2" s="1"/>
  <c r="F18" i="1"/>
  <c r="E20" i="1"/>
  <c r="G36" i="2" s="1"/>
  <c r="E12" i="1"/>
  <c r="G28" i="2" s="1"/>
  <c r="F17" i="1"/>
  <c r="E19" i="1"/>
  <c r="G35" i="2" s="1"/>
  <c r="E11" i="1"/>
  <c r="G27" i="2" s="1"/>
  <c r="F16" i="1"/>
  <c r="F15" i="1"/>
  <c r="E17" i="1"/>
  <c r="G33" i="2" s="1"/>
  <c r="F10" i="1"/>
  <c r="F14" i="1"/>
  <c r="E10" i="1"/>
  <c r="G26" i="2" s="1"/>
  <c r="E16" i="1"/>
  <c r="G32" i="2" s="1"/>
  <c r="F13" i="1"/>
  <c r="E18" i="1"/>
  <c r="G34" i="2" s="1"/>
  <c r="E15" i="1"/>
  <c r="G31" i="2" s="1"/>
  <c r="F20" i="1"/>
  <c r="F12" i="1"/>
  <c r="J13" i="1" l="1"/>
  <c r="J14" i="1"/>
  <c r="J12" i="1"/>
  <c r="J11" i="1"/>
  <c r="J10" i="1"/>
  <c r="G7" i="2"/>
  <c r="F19" i="2"/>
  <c r="G19" i="2" s="1"/>
  <c r="F21" i="2"/>
  <c r="G21" i="2" s="1"/>
  <c r="F23" i="2"/>
  <c r="G23" i="2" s="1"/>
  <c r="F9" i="2"/>
  <c r="F22" i="2"/>
  <c r="G22" i="2" s="1"/>
  <c r="F20" i="2"/>
  <c r="G20" i="2" s="1"/>
  <c r="F36" i="2"/>
  <c r="F34" i="2"/>
  <c r="F30" i="2"/>
  <c r="F27" i="2"/>
  <c r="F35" i="2"/>
  <c r="F37" i="2"/>
  <c r="F33" i="2"/>
  <c r="F32" i="2"/>
  <c r="F26" i="2"/>
  <c r="F29" i="2"/>
  <c r="F31" i="2"/>
  <c r="F28" i="2"/>
  <c r="D23" i="2"/>
  <c r="D19" i="2"/>
  <c r="D21" i="2"/>
  <c r="D20" i="2"/>
  <c r="U63" i="1"/>
  <c r="U49" i="1"/>
  <c r="U61" i="1"/>
  <c r="U42" i="1"/>
  <c r="U56" i="1"/>
  <c r="U54" i="1"/>
  <c r="U51" i="1"/>
  <c r="U46" i="1"/>
  <c r="U50" i="1"/>
  <c r="U62" i="1"/>
  <c r="U45" i="1"/>
  <c r="U53" i="1"/>
  <c r="U58" i="1"/>
  <c r="U59" i="1"/>
  <c r="U44" i="1"/>
  <c r="U57" i="1"/>
  <c r="U48" i="1"/>
  <c r="U52" i="1"/>
  <c r="U55" i="1"/>
  <c r="U41" i="1"/>
  <c r="U43" i="1"/>
  <c r="U60" i="1"/>
  <c r="U47" i="1"/>
  <c r="U40" i="1"/>
  <c r="Q47" i="1"/>
  <c r="Q55" i="1"/>
  <c r="Q63" i="1"/>
  <c r="Q48" i="1"/>
  <c r="Q56" i="1"/>
  <c r="Q40" i="1"/>
  <c r="Q52" i="1"/>
  <c r="Q53" i="1"/>
  <c r="Q54" i="1"/>
  <c r="Q41" i="1"/>
  <c r="Q49" i="1"/>
  <c r="Q57" i="1"/>
  <c r="Q60" i="1"/>
  <c r="Q42" i="1"/>
  <c r="Q50" i="1"/>
  <c r="Q58" i="1"/>
  <c r="Q45" i="1"/>
  <c r="Q46" i="1"/>
  <c r="Q43" i="1"/>
  <c r="Q51" i="1"/>
  <c r="Q59" i="1"/>
  <c r="Q44" i="1"/>
  <c r="Q61" i="1"/>
  <c r="Q62" i="1"/>
  <c r="K10" i="1" l="1"/>
  <c r="L10" i="1"/>
  <c r="G13" i="2" s="1"/>
  <c r="L11" i="1"/>
  <c r="F14" i="2" s="1"/>
  <c r="G14" i="2" s="1"/>
  <c r="K11" i="1"/>
  <c r="K12" i="1"/>
  <c r="L12" i="1"/>
  <c r="F15" i="2" s="1"/>
  <c r="G15" i="2" s="1"/>
  <c r="L14" i="1"/>
  <c r="F17" i="2" s="1"/>
  <c r="G17" i="2" s="1"/>
  <c r="K14" i="1"/>
  <c r="L13" i="1"/>
  <c r="F16" i="2" s="1"/>
  <c r="G16" i="2" s="1"/>
  <c r="K13" i="1"/>
  <c r="Q13" i="1"/>
  <c r="U13" i="1"/>
</calcChain>
</file>

<file path=xl/sharedStrings.xml><?xml version="1.0" encoding="utf-8"?>
<sst xmlns="http://schemas.openxmlformats.org/spreadsheetml/2006/main" count="91" uniqueCount="41">
  <si>
    <t>Plazos 
(meses)</t>
  </si>
  <si>
    <t>CAP</t>
  </si>
  <si>
    <t>Descuento</t>
  </si>
  <si>
    <t>TIN</t>
  </si>
  <si>
    <t>TIR</t>
  </si>
  <si>
    <t>ER.32.SIN.2205.R</t>
  </si>
  <si>
    <t>ER.32.SIN.2206.R</t>
  </si>
  <si>
    <t>Coef. Cuota  Sin Seguro</t>
  </si>
  <si>
    <t>IMPORTE</t>
  </si>
  <si>
    <t>DESCUENTO</t>
  </si>
  <si>
    <t>PLAZO TOTAL</t>
  </si>
  <si>
    <t>PLAZO 1</t>
  </si>
  <si>
    <t>TIN 1</t>
  </si>
  <si>
    <t>CUOTA 1</t>
  </si>
  <si>
    <t>VF (2)</t>
  </si>
  <si>
    <t>PLAZO 2</t>
  </si>
  <si>
    <t>TIN 2</t>
  </si>
  <si>
    <t>CUOTA 2</t>
  </si>
  <si>
    <t>SIN INTERESES</t>
  </si>
  <si>
    <t>CON INTERESES</t>
  </si>
  <si>
    <t>COMISION DE APERTURA</t>
  </si>
  <si>
    <t>CONTADO</t>
  </si>
  <si>
    <t>PRORRATEADA</t>
  </si>
  <si>
    <t>CONT</t>
  </si>
  <si>
    <t>FIN</t>
  </si>
  <si>
    <t>DESC</t>
  </si>
  <si>
    <t>COM</t>
  </si>
  <si>
    <t>Recibos al cliente</t>
  </si>
  <si>
    <t>Cuota mensual a abonar</t>
  </si>
  <si>
    <t>Plan de financiación (Informativo)</t>
  </si>
  <si>
    <t>Recibos cliente</t>
  </si>
  <si>
    <t>DUO 48</t>
  </si>
  <si>
    <t>COSTE CLIENTE 
TARIFA: ER.32.SIN.2204.R</t>
  </si>
  <si>
    <t>COSTE INSTALADOR
TARIFA: ER.32.SIN.2205.R</t>
  </si>
  <si>
    <t>Coste Instalador</t>
  </si>
  <si>
    <t xml:space="preserve">    CANCELACIONES BBVA
    900 108 588</t>
  </si>
  <si>
    <t>Comisión Apertura (CAP)</t>
  </si>
  <si>
    <t>ER.32.SIN.2204.R</t>
  </si>
  <si>
    <t>CODIGO TARIFA: ER.32.SIN.2205.R</t>
  </si>
  <si>
    <t>ER.32.CON.2207.R</t>
  </si>
  <si>
    <t>48 meses
(24 Con intereses
+ 24 Sin intereses)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</si>
</sst>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_-* #,##0.00\ _€_-;\-* #,##0.00\ _€_-;_-* &quot;-&quot;??\ _€_-;_-@_-"/>
    <numFmt numFmtId="165" formatCode="_-* #,##0.00000\ _€_-;\-* #,##0.00000\ _€_-;_-* &quot;-&quot;??\ _€_-;_-@_-"/>
    <numFmt numFmtId="166" formatCode="_-* #,##0.0000000\ _€_-;\-* #,##0.0000000\ _€_-;_-* &quot;-&quot;??\ _€_-;_-@_-"/>
    <numFmt numFmtId="167" formatCode="_-* #,##0.00000\ _€_-;\-* #,##0.00000\ _€_-;_-* &quot;-&quot;?????\ _€_-;_-@_-"/>
    <numFmt numFmtId="168" formatCode="#,##0.00\ &quot;€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Book Antiqua"/>
      <family val="1"/>
    </font>
    <font>
      <b/>
      <sz val="10"/>
      <color rgb="FF1464AF"/>
      <name val="BBVA Office Light"/>
      <family val="2"/>
    </font>
    <font>
      <sz val="11"/>
      <color rgb="FF1464AF"/>
      <name val="Calibri"/>
      <family val="2"/>
      <scheme val="minor"/>
    </font>
    <font>
      <b/>
      <sz val="11"/>
      <color rgb="FF028484"/>
      <name val="Calibri"/>
      <family val="2"/>
      <scheme val="minor"/>
    </font>
    <font>
      <b/>
      <sz val="10"/>
      <color theme="0"/>
      <name val="BBVA Office Light"/>
      <family val="2"/>
    </font>
    <font>
      <b/>
      <sz val="9"/>
      <color theme="0"/>
      <name val="BBVA Office Light"/>
      <family val="2"/>
    </font>
    <font>
      <sz val="11"/>
      <color rgb="FF002060"/>
      <name val="Calibri"/>
      <family val="2"/>
      <scheme val="minor"/>
    </font>
    <font>
      <b/>
      <sz val="11"/>
      <color rgb="FFF7893B"/>
      <name val="Calibri"/>
      <family val="2"/>
      <scheme val="minor"/>
    </font>
    <font>
      <sz val="11"/>
      <color rgb="FF094FA4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auto="1"/>
      </patternFill>
    </fill>
  </fills>
  <borders count="22">
    <border>
      <left/>
      <right/>
      <top/>
      <bottom/>
      <diagonal/>
    </border>
    <border>
      <left style="medium">
        <color rgb="FF094FA4"/>
      </left>
      <right style="medium">
        <color rgb="FF094FA4"/>
      </right>
      <top style="medium">
        <color rgb="FF094FA4"/>
      </top>
      <bottom/>
      <diagonal/>
    </border>
    <border>
      <left style="medium">
        <color rgb="FF094FA4"/>
      </left>
      <right style="medium">
        <color rgb="FF094FA4"/>
      </right>
      <top style="medium">
        <color rgb="FF094FA4"/>
      </top>
      <bottom style="dashed">
        <color theme="4"/>
      </bottom>
      <diagonal/>
    </border>
    <border>
      <left style="medium">
        <color rgb="FF094FA4"/>
      </left>
      <right style="medium">
        <color rgb="FF094FA4"/>
      </right>
      <top/>
      <bottom style="dashed">
        <color theme="4"/>
      </bottom>
      <diagonal/>
    </border>
    <border>
      <left style="medium">
        <color rgb="FF094FA4"/>
      </left>
      <right/>
      <top style="medium">
        <color rgb="FF094FA4"/>
      </top>
      <bottom style="medium">
        <color rgb="FF094FA4"/>
      </bottom>
      <diagonal/>
    </border>
    <border>
      <left/>
      <right style="medium">
        <color rgb="FF094FA4"/>
      </right>
      <top style="medium">
        <color rgb="FF094FA4"/>
      </top>
      <bottom style="medium">
        <color rgb="FF094FA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 applyProtection="1">
      <alignment horizontal="center"/>
      <protection locked="0"/>
    </xf>
    <xf numFmtId="10" fontId="5" fillId="2" borderId="2" xfId="3" applyNumberFormat="1" applyFont="1" applyFill="1" applyBorder="1" applyAlignment="1" applyProtection="1">
      <alignment horizontal="center"/>
      <protection locked="0"/>
    </xf>
    <xf numFmtId="0" fontId="5" fillId="2" borderId="3" xfId="2" applyFont="1" applyFill="1" applyBorder="1" applyAlignment="1" applyProtection="1">
      <alignment horizontal="center"/>
      <protection locked="0"/>
    </xf>
    <xf numFmtId="10" fontId="5" fillId="2" borderId="3" xfId="3" applyNumberFormat="1" applyFont="1" applyFill="1" applyBorder="1" applyAlignment="1" applyProtection="1">
      <alignment horizontal="center"/>
      <protection locked="0"/>
    </xf>
    <xf numFmtId="166" fontId="5" fillId="2" borderId="2" xfId="1" applyNumberFormat="1" applyFont="1" applyFill="1" applyBorder="1" applyAlignment="1" applyProtection="1">
      <alignment horizontal="center"/>
      <protection locked="0"/>
    </xf>
    <xf numFmtId="166" fontId="5" fillId="2" borderId="3" xfId="1" applyNumberFormat="1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>
      <alignment horizontal="center" vertical="center" wrapText="1"/>
    </xf>
    <xf numFmtId="10" fontId="7" fillId="3" borderId="1" xfId="3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/>
    </xf>
    <xf numFmtId="10" fontId="6" fillId="2" borderId="3" xfId="3" applyNumberFormat="1" applyFont="1" applyFill="1" applyBorder="1" applyAlignment="1">
      <alignment horizontal="center"/>
    </xf>
    <xf numFmtId="10" fontId="10" fillId="2" borderId="3" xfId="3" applyNumberFormat="1" applyFont="1" applyFill="1" applyBorder="1" applyAlignment="1">
      <alignment horizontal="center"/>
    </xf>
    <xf numFmtId="165" fontId="11" fillId="2" borderId="3" xfId="4" applyNumberFormat="1" applyFont="1" applyFill="1" applyBorder="1" applyAlignment="1">
      <alignment vertical="center"/>
    </xf>
    <xf numFmtId="0" fontId="1" fillId="0" borderId="0" xfId="5"/>
    <xf numFmtId="164" fontId="0" fillId="0" borderId="0" xfId="6" applyFont="1"/>
    <xf numFmtId="10" fontId="0" fillId="5" borderId="0" xfId="7" applyNumberFormat="1" applyFont="1" applyFill="1"/>
    <xf numFmtId="164" fontId="1" fillId="0" borderId="0" xfId="5" applyNumberFormat="1"/>
    <xf numFmtId="0" fontId="1" fillId="5" borderId="0" xfId="5" applyFill="1"/>
    <xf numFmtId="10" fontId="1" fillId="0" borderId="0" xfId="5" applyNumberFormat="1"/>
    <xf numFmtId="8" fontId="1" fillId="0" borderId="0" xfId="5" applyNumberFormat="1"/>
    <xf numFmtId="10" fontId="1" fillId="5" borderId="0" xfId="5" applyNumberFormat="1" applyFill="1"/>
    <xf numFmtId="0" fontId="2" fillId="0" borderId="0" xfId="5" applyFont="1"/>
    <xf numFmtId="10" fontId="2" fillId="0" borderId="0" xfId="7" applyNumberFormat="1" applyFont="1"/>
    <xf numFmtId="167" fontId="0" fillId="0" borderId="0" xfId="0" applyNumberFormat="1"/>
    <xf numFmtId="0" fontId="0" fillId="0" borderId="0" xfId="0" applyAlignment="1"/>
    <xf numFmtId="0" fontId="0" fillId="4" borderId="0" xfId="0" applyFill="1" applyProtection="1"/>
    <xf numFmtId="0" fontId="0" fillId="4" borderId="0" xfId="0" applyFill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 wrapText="1"/>
    </xf>
    <xf numFmtId="168" fontId="0" fillId="4" borderId="0" xfId="0" applyNumberFormat="1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168" fontId="0" fillId="4" borderId="12" xfId="0" applyNumberFormat="1" applyFill="1" applyBorder="1" applyAlignment="1" applyProtection="1">
      <alignment horizontal="center" vertical="center" wrapText="1"/>
    </xf>
    <xf numFmtId="0" fontId="17" fillId="6" borderId="6" xfId="0" applyFont="1" applyFill="1" applyBorder="1" applyAlignment="1" applyProtection="1">
      <alignment horizontal="center" vertical="center" wrapText="1"/>
    </xf>
    <xf numFmtId="0" fontId="17" fillId="6" borderId="7" xfId="0" applyFont="1" applyFill="1" applyBorder="1" applyAlignment="1" applyProtection="1">
      <alignment horizontal="center" vertical="center" wrapText="1"/>
    </xf>
    <xf numFmtId="164" fontId="0" fillId="0" borderId="0" xfId="1" applyFont="1"/>
    <xf numFmtId="165" fontId="11" fillId="9" borderId="3" xfId="4" applyNumberFormat="1" applyFont="1" applyFill="1" applyBorder="1" applyAlignment="1">
      <alignment vertical="center"/>
    </xf>
    <xf numFmtId="0" fontId="17" fillId="6" borderId="7" xfId="0" applyFont="1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168" fontId="0" fillId="4" borderId="0" xfId="0" applyNumberFormat="1" applyFill="1" applyBorder="1" applyAlignment="1" applyProtection="1">
      <alignment horizontal="center" vertical="center" wrapText="1"/>
    </xf>
    <xf numFmtId="168" fontId="0" fillId="4" borderId="12" xfId="0" applyNumberFormat="1" applyFill="1" applyBorder="1" applyAlignment="1" applyProtection="1">
      <alignment horizontal="center" vertical="center" wrapText="1"/>
    </xf>
    <xf numFmtId="0" fontId="0" fillId="4" borderId="0" xfId="0" applyFill="1" applyBorder="1" applyProtection="1"/>
    <xf numFmtId="0" fontId="0" fillId="4" borderId="12" xfId="0" applyFill="1" applyBorder="1" applyProtection="1"/>
    <xf numFmtId="0" fontId="0" fillId="4" borderId="9" xfId="0" applyFill="1" applyBorder="1" applyAlignment="1" applyProtection="1">
      <alignment horizontal="center" vertical="center" wrapText="1"/>
    </xf>
    <xf numFmtId="168" fontId="0" fillId="4" borderId="0" xfId="0" applyNumberFormat="1" applyFill="1" applyBorder="1" applyAlignment="1" applyProtection="1">
      <alignment horizontal="center" vertical="center" wrapText="1"/>
    </xf>
    <xf numFmtId="0" fontId="17" fillId="6" borderId="0" xfId="0" applyFont="1" applyFill="1" applyBorder="1" applyAlignment="1" applyProtection="1">
      <alignment horizontal="center" vertical="center" wrapText="1"/>
    </xf>
    <xf numFmtId="165" fontId="11" fillId="2" borderId="2" xfId="4" applyNumberFormat="1" applyFont="1" applyFill="1" applyBorder="1" applyAlignment="1">
      <alignment vertical="center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 wrapText="1"/>
    </xf>
    <xf numFmtId="0" fontId="14" fillId="4" borderId="20" xfId="0" applyFont="1" applyFill="1" applyBorder="1" applyAlignment="1" applyProtection="1">
      <alignment horizontal="left" vertical="center" wrapText="1"/>
    </xf>
    <xf numFmtId="0" fontId="17" fillId="6" borderId="7" xfId="0" applyFont="1" applyFill="1" applyBorder="1" applyAlignment="1" applyProtection="1">
      <alignment horizontal="center" vertical="center" wrapText="1"/>
    </xf>
    <xf numFmtId="0" fontId="17" fillId="6" borderId="8" xfId="0" applyFont="1" applyFill="1" applyBorder="1" applyAlignment="1" applyProtection="1">
      <alignment horizontal="center" vertical="center" wrapText="1"/>
    </xf>
    <xf numFmtId="0" fontId="16" fillId="6" borderId="17" xfId="0" applyFont="1" applyFill="1" applyBorder="1" applyAlignment="1" applyProtection="1">
      <alignment horizontal="center" vertical="center"/>
      <protection locked="0"/>
    </xf>
    <xf numFmtId="0" fontId="16" fillId="6" borderId="18" xfId="0" applyFont="1" applyFill="1" applyBorder="1" applyAlignment="1" applyProtection="1">
      <alignment horizontal="center" vertical="center"/>
      <protection locked="0"/>
    </xf>
    <xf numFmtId="0" fontId="16" fillId="6" borderId="19" xfId="0" applyFont="1" applyFill="1" applyBorder="1" applyAlignment="1" applyProtection="1">
      <alignment horizontal="center" vertical="center"/>
      <protection locked="0"/>
    </xf>
    <xf numFmtId="164" fontId="16" fillId="6" borderId="17" xfId="1" applyFont="1" applyFill="1" applyBorder="1" applyAlignment="1" applyProtection="1">
      <alignment horizontal="center" vertical="center" wrapText="1"/>
      <protection locked="0"/>
    </xf>
    <xf numFmtId="164" fontId="16" fillId="6" borderId="18" xfId="1" applyFont="1" applyFill="1" applyBorder="1" applyAlignment="1" applyProtection="1">
      <alignment horizontal="center" vertical="center" wrapText="1"/>
      <protection locked="0"/>
    </xf>
    <xf numFmtId="164" fontId="16" fillId="6" borderId="19" xfId="1" applyFont="1" applyFill="1" applyBorder="1" applyAlignment="1" applyProtection="1">
      <alignment horizontal="center" vertical="center" wrapText="1"/>
      <protection locked="0"/>
    </xf>
    <xf numFmtId="0" fontId="13" fillId="4" borderId="20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21" xfId="0" applyFont="1" applyFill="1" applyBorder="1" applyAlignment="1" applyProtection="1">
      <alignment horizontal="center" vertical="center" wrapText="1"/>
    </xf>
    <xf numFmtId="0" fontId="12" fillId="7" borderId="0" xfId="0" applyFont="1" applyFill="1" applyAlignment="1" applyProtection="1">
      <alignment horizontal="center" vertical="center" textRotation="90" wrapText="1"/>
    </xf>
    <xf numFmtId="0" fontId="15" fillId="8" borderId="14" xfId="0" applyFont="1" applyFill="1" applyBorder="1" applyAlignment="1" applyProtection="1">
      <alignment horizontal="center" vertical="center" textRotation="90" wrapText="1"/>
    </xf>
    <xf numFmtId="0" fontId="15" fillId="8" borderId="15" xfId="0" applyFont="1" applyFill="1" applyBorder="1" applyAlignment="1" applyProtection="1">
      <alignment horizontal="center" vertical="center" textRotation="90" wrapText="1"/>
    </xf>
    <xf numFmtId="0" fontId="15" fillId="8" borderId="16" xfId="0" applyFont="1" applyFill="1" applyBorder="1" applyAlignment="1" applyProtection="1">
      <alignment horizontal="center" vertical="center" textRotation="90" wrapText="1"/>
    </xf>
    <xf numFmtId="0" fontId="0" fillId="4" borderId="9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15" fillId="8" borderId="7" xfId="0" applyFont="1" applyFill="1" applyBorder="1" applyAlignment="1" applyProtection="1">
      <alignment horizontal="center" vertical="center" textRotation="90" wrapText="1"/>
    </xf>
    <xf numFmtId="0" fontId="15" fillId="8" borderId="0" xfId="0" applyFont="1" applyFill="1" applyBorder="1" applyAlignment="1" applyProtection="1">
      <alignment horizontal="center" vertical="center" textRotation="90" wrapText="1"/>
    </xf>
    <xf numFmtId="0" fontId="0" fillId="4" borderId="12" xfId="0" applyFill="1" applyBorder="1" applyAlignment="1" applyProtection="1">
      <alignment horizontal="center"/>
    </xf>
    <xf numFmtId="0" fontId="0" fillId="4" borderId="13" xfId="0" applyFill="1" applyBorder="1" applyAlignment="1" applyProtection="1">
      <alignment horizontal="center"/>
    </xf>
    <xf numFmtId="168" fontId="0" fillId="4" borderId="0" xfId="0" applyNumberFormat="1" applyFill="1" applyBorder="1" applyAlignment="1" applyProtection="1">
      <alignment horizontal="center" vertical="center" wrapText="1"/>
    </xf>
    <xf numFmtId="168" fontId="0" fillId="4" borderId="12" xfId="0" applyNumberFormat="1" applyFill="1" applyBorder="1" applyAlignment="1" applyProtection="1">
      <alignment horizontal="center" vertical="center" wrapText="1"/>
    </xf>
    <xf numFmtId="0" fontId="12" fillId="7" borderId="10" xfId="0" applyFont="1" applyFill="1" applyBorder="1" applyAlignment="1" applyProtection="1">
      <alignment horizontal="left" vertical="center" textRotation="90"/>
    </xf>
    <xf numFmtId="0" fontId="5" fillId="2" borderId="4" xfId="2" applyFont="1" applyFill="1" applyBorder="1" applyAlignment="1" applyProtection="1">
      <alignment horizontal="center"/>
      <protection hidden="1"/>
    </xf>
    <xf numFmtId="0" fontId="5" fillId="2" borderId="5" xfId="2" applyFont="1" applyFill="1" applyBorder="1" applyAlignment="1" applyProtection="1">
      <alignment horizontal="center"/>
      <protection hidden="1"/>
    </xf>
  </cellXfs>
  <cellStyles count="8">
    <cellStyle name="Millares" xfId="1" builtinId="3"/>
    <cellStyle name="Millares 2" xfId="4" xr:uid="{00000000-0005-0000-0000-000001000000}"/>
    <cellStyle name="Millares 5" xfId="6" xr:uid="{00000000-0005-0000-0000-000002000000}"/>
    <cellStyle name="Normal" xfId="0" builtinId="0"/>
    <cellStyle name="Normal 2" xfId="2" xr:uid="{00000000-0005-0000-0000-000004000000}"/>
    <cellStyle name="Normal 6" xfId="5" xr:uid="{00000000-0005-0000-0000-000005000000}"/>
    <cellStyle name="Porcentaje 2" xfId="3" xr:uid="{00000000-0005-0000-0000-000006000000}"/>
    <cellStyle name="Porcentaje 5" xfId="7" xr:uid="{00000000-0005-0000-0000-000007000000}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1962150</xdr:colOff>
      <xdr:row>0</xdr:row>
      <xdr:rowOff>57150</xdr:rowOff>
    </xdr:from>
    <xdr:to>
      <xdr:col>7</xdr:col>
      <xdr:colOff>4343400</xdr:colOff>
      <xdr:row>4</xdr:row>
      <xdr:rowOff>34925</xdr:rowOff>
    </xdr:to>
    <xdr:pic>
      <xdr:nvPicPr>
        <xdr:cNvPr id="3" name="Imagen 2" descr="Saunier Duv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7150"/>
          <a:ext cx="238125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H40"/>
  <sheetViews>
    <sheetView tabSelected="1" zoomScale="94" zoomScaleNormal="94" workbookViewId="0">
      <selection activeCell="C5" sqref="C5"/>
    </sheetView>
  </sheetViews>
  <sheetFormatPr baseColWidth="10" defaultColWidth="11.44140625" defaultRowHeight="14.4"/>
  <cols>
    <col min="1" max="1" width="7.33203125" style="28" customWidth="1"/>
    <col min="2" max="2" width="8.88671875" style="28" customWidth="1"/>
    <col min="3" max="3" width="20.109375" style="28" customWidth="1"/>
    <col min="4" max="4" width="16.6640625" style="28" customWidth="1"/>
    <col min="5" max="5" width="24.44140625" style="28" customWidth="1"/>
    <col min="6" max="6" width="23.6640625" style="28" hidden="1" customWidth="1"/>
    <col min="7" max="7" width="23.6640625" style="28" customWidth="1"/>
    <col min="8" max="8" width="65.44140625" style="28" customWidth="1"/>
    <col min="9" max="12" width="39.44140625" style="28" customWidth="1"/>
    <col min="13" max="16384" width="11.44140625" style="28"/>
  </cols>
  <sheetData>
    <row r="1" spans="1:8" ht="6.75" customHeight="1"/>
    <row r="2" spans="1:8">
      <c r="A2" s="62" t="s">
        <v>8</v>
      </c>
      <c r="B2" s="63"/>
      <c r="C2" s="59">
        <v>14000</v>
      </c>
      <c r="D2" s="62" t="s">
        <v>20</v>
      </c>
      <c r="E2" s="64"/>
      <c r="G2" s="56" t="s">
        <v>22</v>
      </c>
      <c r="H2" s="53" t="s">
        <v>35</v>
      </c>
    </row>
    <row r="3" spans="1:8">
      <c r="A3" s="62"/>
      <c r="B3" s="63"/>
      <c r="C3" s="60"/>
      <c r="D3" s="62"/>
      <c r="E3" s="64"/>
      <c r="G3" s="57"/>
      <c r="H3" s="53"/>
    </row>
    <row r="4" spans="1:8">
      <c r="A4" s="62"/>
      <c r="B4" s="63"/>
      <c r="C4" s="61"/>
      <c r="D4" s="62"/>
      <c r="E4" s="64"/>
      <c r="G4" s="58"/>
      <c r="H4" s="53"/>
    </row>
    <row r="5" spans="1:8" ht="5.25" customHeight="1" thickBot="1"/>
    <row r="6" spans="1:8" ht="19.5" customHeight="1">
      <c r="A6" s="77" t="s">
        <v>31</v>
      </c>
      <c r="B6" s="66" t="s">
        <v>38</v>
      </c>
      <c r="C6" s="34" t="s">
        <v>27</v>
      </c>
      <c r="D6" s="35" t="s">
        <v>34</v>
      </c>
      <c r="E6" s="35" t="s">
        <v>36</v>
      </c>
      <c r="F6" s="35" t="s">
        <v>28</v>
      </c>
      <c r="G6" s="54" t="s">
        <v>29</v>
      </c>
      <c r="H6" s="55"/>
    </row>
    <row r="7" spans="1:8" ht="19.5" customHeight="1">
      <c r="A7" s="77"/>
      <c r="B7" s="67"/>
      <c r="C7" s="69" t="s">
        <v>40</v>
      </c>
      <c r="D7" s="75">
        <f>Hoja1!R4</f>
        <v>350</v>
      </c>
      <c r="E7" s="75" t="str">
        <f>IF($G$2="CONTADO",Hoja1!R3&amp;"€ en un recibo",IF($G$2="PRORRATEADA",Hoja1!R3&amp;"€ / 48 recibos",""))</f>
        <v>140€ / 48 recibos</v>
      </c>
      <c r="F7" s="75" t="str">
        <f>IF($G$2="CONTADO","24 recibos de "&amp;ROUND(Hoja1!Q8,2)&amp;"€ +",IF($G$2="PRORRATEADA","24 primeros recibos de "&amp;ROUND(Hoja1!U8,2)&amp;"€",""))</f>
        <v>24 primeros recibos de 341,89€</v>
      </c>
      <c r="G7" s="49" t="str">
        <f>IF($G$2="CONTADO","Un primer recibo de "&amp;Hoja1!R3&amp;"€ al fomarlizar la financiación. 24 primeros recibos de "&amp;ROUND(Hoja1!Q8,2)&amp;"€"&amp;" y 24 recibos mas de "&amp;ROUND(Hoja1!Q12,2)&amp;"€",IF($G$2="PRORRATEADA","24 primeros recibos de  "&amp;ROUND(Hoja1!U8,2)&amp;"€ y 24 recibos mas de "&amp;ROUND(Hoja1!U12,2)&amp;"€",""))</f>
        <v>24 primeros recibos de  341,89€ y 24 recibos mas de 316,57€</v>
      </c>
      <c r="H7" s="50"/>
    </row>
    <row r="8" spans="1:8" ht="19.5" customHeight="1">
      <c r="A8" s="77"/>
      <c r="B8" s="67"/>
      <c r="C8" s="69"/>
      <c r="D8" s="75"/>
      <c r="E8" s="75"/>
      <c r="F8" s="75"/>
      <c r="G8" s="49"/>
      <c r="H8" s="50"/>
    </row>
    <row r="9" spans="1:8" ht="19.5" customHeight="1">
      <c r="A9" s="77"/>
      <c r="B9" s="67"/>
      <c r="C9" s="69"/>
      <c r="D9" s="75"/>
      <c r="E9" s="75"/>
      <c r="F9" s="75" t="str">
        <f>IF($G$2="CONTADO"," 24 recibos mas de "&amp;ROUND(Hoja1!Q12,2)&amp;"€",IF($G$2="PRORRATEADA","24 recibos mas de "&amp;ROUND(Hoja1!U12,2)&amp;"€",""))</f>
        <v>24 recibos mas de 316,57€</v>
      </c>
      <c r="G9" s="49"/>
      <c r="H9" s="50"/>
    </row>
    <row r="10" spans="1:8" ht="19.5" customHeight="1" thickBot="1">
      <c r="A10" s="77"/>
      <c r="B10" s="68"/>
      <c r="C10" s="70"/>
      <c r="D10" s="76"/>
      <c r="E10" s="76"/>
      <c r="F10" s="76"/>
      <c r="G10" s="51"/>
      <c r="H10" s="52"/>
    </row>
    <row r="11" spans="1:8" ht="6" customHeight="1" thickBot="1"/>
    <row r="12" spans="1:8" s="29" customFormat="1" ht="18.75" customHeight="1">
      <c r="A12" s="65" t="s">
        <v>18</v>
      </c>
      <c r="B12" s="66" t="s">
        <v>32</v>
      </c>
      <c r="C12" s="34" t="s">
        <v>30</v>
      </c>
      <c r="D12" s="35" t="s">
        <v>34</v>
      </c>
      <c r="E12" s="35" t="s">
        <v>36</v>
      </c>
      <c r="F12" s="35" t="s">
        <v>28</v>
      </c>
      <c r="G12" s="54" t="s">
        <v>29</v>
      </c>
      <c r="H12" s="55"/>
    </row>
    <row r="13" spans="1:8" s="29" customFormat="1" ht="18.75" customHeight="1">
      <c r="A13" s="65"/>
      <c r="B13" s="67"/>
      <c r="C13" s="45">
        <f>Hoja1!G10</f>
        <v>6</v>
      </c>
      <c r="D13" s="46">
        <f>Hoja1!I10</f>
        <v>0</v>
      </c>
      <c r="E13" s="46" t="str">
        <f>IF($G$2="CONTADO",VLOOKUP('SUANIER - BBVA'!C13,Hoja1!$G$9:$N$14,8,0)&amp;"€ en un recibo",IF($G$2="PRORRATEADA",VLOOKUP('SUANIER - BBVA'!C13,Hoja1!$G$9:$N$14,8,0)&amp;"€  ("&amp;ROUND(VLOOKUP('SUANIER - BBVA'!C13,Hoja1!$G$9:$N$14,8,0)/C13,2)&amp;"€ al mes)",""))</f>
        <v>301€  (50,17€ al mes)</v>
      </c>
      <c r="F13" s="47"/>
      <c r="G13" s="49" t="str">
        <f>IF($G$2="CONTADO","Primer cargo de "&amp;VLOOKUP('SUANIER - BBVA'!C13,Hoja1!$G$9:$N$14,8,0)&amp;"€ al fomarlizar la financiación  y "&amp;C13&amp;" recibos mas de "&amp;ROUND('SUANIER - BBVA'!F13,2)&amp;"€",IF($G$2="PRORRATEADA",C13&amp;" recibos de  "&amp;ROUND(VLOOKUP('SUANIER - BBVA'!C13,Hoja1!$G$9:$L$14,6,0),2)&amp;"€ ("&amp;ROUND($C$2/C13,2)&amp;"€ de capital + "&amp;ROUND(ROUND(VLOOKUP('SUANIER - BBVA'!C13,Hoja1!$G$9:$L$14,6,0),2)-(ROUND($C$2/C13,2)),2)&amp;"€ de CAP)",""))</f>
        <v>6 recibos de  2383,5€ (2333,33€ de capital + 50,17€ de CAP)</v>
      </c>
      <c r="H13" s="50"/>
    </row>
    <row r="14" spans="1:8" s="29" customFormat="1">
      <c r="A14" s="65"/>
      <c r="B14" s="67"/>
      <c r="C14" s="30">
        <f>Hoja1!G11</f>
        <v>12</v>
      </c>
      <c r="D14" s="31">
        <f>Hoja1!I11</f>
        <v>0</v>
      </c>
      <c r="E14" s="31" t="str">
        <f>IF($G$2="CONTADO",VLOOKUP('SUANIER - BBVA'!C14,Hoja1!$G$9:$N$14,8,0)&amp;"€ en un recibo",IF($G$2="PRORRATEADA",VLOOKUP('SUANIER - BBVA'!C14,Hoja1!$G$9:$N$14,8,0)&amp;"€  ("&amp;ROUND(VLOOKUP('SUANIER - BBVA'!C14,Hoja1!$G$9:$N$14,8,0)/C14,2)&amp;"€ al mes)",""))</f>
        <v>490€  (40,83€ al mes)</v>
      </c>
      <c r="F14" s="31">
        <f>IF($G$2="CONTADO",VLOOKUP('SUANIER - BBVA'!C14,Hoja1!$G$9:$L$14,5,0),IF($G$2="PRORRATEADA",VLOOKUP('SUANIER - BBVA'!C14,Hoja1!$G$9:$L$14,6,0),""))</f>
        <v>1207.5</v>
      </c>
      <c r="G14" s="49" t="str">
        <f>IF($G$2="CONTADO","Primer cargo de "&amp;VLOOKUP('SUANIER - BBVA'!C14,Hoja1!$G$9:$N$14,8,0)&amp;"€ al fomarlizar la financiación  y "&amp;C14&amp;" recibos mas de "&amp;ROUND('SUANIER - BBVA'!F14,2)&amp;"€",IF($G$2="PRORRATEADA",C14&amp;" recibos de  "&amp;ROUND(VLOOKUP('SUANIER - BBVA'!C14,Hoja1!$G$9:$L$14,6,0),2)&amp;"€ ("&amp;ROUND($C$2/C14,2)&amp;"€ de capital + "&amp;ROUND(ROUND(VLOOKUP('SUANIER - BBVA'!C14,Hoja1!$G$9:$L$14,6,0),2)-(ROUND($C$2/C14,2)),2)&amp;"€ de CAP)",""))</f>
        <v>12 recibos de  1207,5€ (1166,67€ de capital + 40,83€ de CAP)</v>
      </c>
      <c r="H14" s="50"/>
    </row>
    <row r="15" spans="1:8" s="29" customFormat="1">
      <c r="A15" s="65"/>
      <c r="B15" s="67"/>
      <c r="C15" s="30">
        <f>Hoja1!G12</f>
        <v>18</v>
      </c>
      <c r="D15" s="31">
        <f>Hoja1!I12</f>
        <v>0</v>
      </c>
      <c r="E15" s="31" t="str">
        <f>IF($G$2="CONTADO",VLOOKUP('SUANIER - BBVA'!C15,Hoja1!$G$9:$N$14,8,0)&amp;"€ en un recibo",IF($G$2="PRORRATEADA",VLOOKUP('SUANIER - BBVA'!C15,Hoja1!$G$9:$N$14,8,0)&amp;"€  ("&amp;ROUND(VLOOKUP('SUANIER - BBVA'!C15,Hoja1!$G$9:$N$14,8,0)/C15,2)&amp;"€ al mes)",""))</f>
        <v>700€  (38,89€ al mes)</v>
      </c>
      <c r="F15" s="31">
        <f>IF($G$2="CONTADO",VLOOKUP('SUANIER - BBVA'!C15,Hoja1!$G$9:$L$14,5,0),IF($G$2="PRORRATEADA",VLOOKUP('SUANIER - BBVA'!C15,Hoja1!$G$9:$L$14,6,0),""))</f>
        <v>816.66666666666663</v>
      </c>
      <c r="G15" s="49" t="str">
        <f>IF($G$2="CONTADO","Primer cargo de "&amp;VLOOKUP('SUANIER - BBVA'!C15,Hoja1!$G$9:$N$14,8,0)&amp;"€ al fomarlizar la financiación  y "&amp;C15&amp;" recibos mas de "&amp;ROUND('SUANIER - BBVA'!F15,2)&amp;"€",IF($G$2="PRORRATEADA",C15&amp;" recibos de  "&amp;ROUND(VLOOKUP('SUANIER - BBVA'!C15,Hoja1!$G$9:$L$14,6,0),2)&amp;"€ ("&amp;ROUND($C$2/C15,2)&amp;"€ de capital + "&amp;ROUND(ROUND(VLOOKUP('SUANIER - BBVA'!C15,Hoja1!$G$9:$L$14,6,0),2)-(ROUND($C$2/C15,2)),2)&amp;"€ de CAP)",""))</f>
        <v>18 recibos de  816,67€ (777,78€ de capital + 38,89€ de CAP)</v>
      </c>
      <c r="H15" s="50"/>
    </row>
    <row r="16" spans="1:8" s="29" customFormat="1">
      <c r="A16" s="65"/>
      <c r="B16" s="67"/>
      <c r="C16" s="30">
        <f>Hoja1!G13</f>
        <v>24</v>
      </c>
      <c r="D16" s="31">
        <f>Hoja1!I13</f>
        <v>0</v>
      </c>
      <c r="E16" s="31" t="str">
        <f>IF($G$2="CONTADO",VLOOKUP('SUANIER - BBVA'!C16,Hoja1!$G$9:$N$14,8,0)&amp;"€ en un recibo",IF($G$2="PRORRATEADA",VLOOKUP('SUANIER - BBVA'!C16,Hoja1!$G$9:$N$14,8,0)&amp;"€  ("&amp;ROUND(VLOOKUP('SUANIER - BBVA'!C16,Hoja1!$G$9:$N$14,8,0)/C16,2)&amp;"€ al mes)",""))</f>
        <v>910€  (37,92€ al mes)</v>
      </c>
      <c r="F16" s="31">
        <f>IF($G$2="CONTADO",VLOOKUP('SUANIER - BBVA'!C16,Hoja1!$G$9:$L$14,5,0),IF($G$2="PRORRATEADA",VLOOKUP('SUANIER - BBVA'!C16,Hoja1!$G$9:$L$14,6,0),""))</f>
        <v>621.25</v>
      </c>
      <c r="G16" s="49" t="str">
        <f>IF($G$2="CONTADO","Primer cargo de "&amp;VLOOKUP('SUANIER - BBVA'!C16,Hoja1!$G$9:$N$14,8,0)&amp;"€ al fomarlizar la financiación  y "&amp;C16&amp;" recibos mas de "&amp;ROUND('SUANIER - BBVA'!F16,2)&amp;"€",IF($G$2="PRORRATEADA",C16&amp;" recibos de  "&amp;ROUND(VLOOKUP('SUANIER - BBVA'!C16,Hoja1!$G$9:$L$14,6,0),2)&amp;"€ ("&amp;ROUND($C$2/C16,2)&amp;"€ de capital + "&amp;ROUND(ROUND(VLOOKUP('SUANIER - BBVA'!C16,Hoja1!$G$9:$L$14,6,0),2)-(ROUND($C$2/C16,2)),2)&amp;"€ de CAP)",""))</f>
        <v>24 recibos de  621,25€ (583,33€ de capital + 37,92€ de CAP)</v>
      </c>
      <c r="H16" s="50"/>
    </row>
    <row r="17" spans="1:8" s="29" customFormat="1" ht="29.4" thickBot="1">
      <c r="A17" s="65"/>
      <c r="B17" s="68"/>
      <c r="C17" s="32">
        <f>Hoja1!G14</f>
        <v>36</v>
      </c>
      <c r="D17" s="33">
        <f>Hoja1!M14</f>
        <v>0</v>
      </c>
      <c r="E17" s="33" t="str">
        <f>IF($G$2="CONTADO",VLOOKUP('SUANIER - BBVA'!C17,Hoja1!$G$9:$N$14,8,0)&amp;"€ en un recibo",IF($G$2="PRORRATEADA",VLOOKUP('SUANIER - BBVA'!C17,Hoja1!$G$9:$N$14,8,0)&amp;"€  ("&amp;ROUND(VLOOKUP('SUANIER - BBVA'!C17,Hoja1!$G$9:$N$14,8,0)/C17,2)&amp;"€ al mes)",""))</f>
        <v>1316€  (36,56€ al mes)</v>
      </c>
      <c r="F17" s="33">
        <f>IF($G$2="CONTADO",VLOOKUP('SUANIER - BBVA'!C17,Hoja1!$G$9:$L$14,5,0),IF($G$2="PRORRATEADA",VLOOKUP('SUANIER - BBVA'!C17,Hoja1!$G$9:$L$14,6,0),""))</f>
        <v>425.4444444444444</v>
      </c>
      <c r="G17" s="51" t="str">
        <f>IF($G$2="CONTADO","Primer cargo de "&amp;VLOOKUP('SUANIER - BBVA'!C17,Hoja1!$G$9:$N$14,8,0)&amp;"€ al fomarlizar la financiación  y "&amp;C17&amp;" recibos mas de "&amp;ROUND('SUANIER - BBVA'!F17,2)&amp;"€",IF($G$2="PRORRATEADA",C17&amp;" recibos de  "&amp;ROUND(VLOOKUP('SUANIER - BBVA'!C17,Hoja1!$G$9:$L$14,6,0),2)&amp;"€ ("&amp;ROUND($C$2/C17,2)&amp;"€ de capital + "&amp;ROUND(ROUND(VLOOKUP('SUANIER - BBVA'!C17,Hoja1!$G$9:$L$14,6,0),2)-(ROUND($C$2/C17,2)),2)&amp;"€ de CAP)",""))</f>
        <v>36 recibos de  425,44€ (388,89€ de capital + 36,55€ de CAP)</v>
      </c>
      <c r="H17" s="52"/>
    </row>
    <row r="18" spans="1:8" s="29" customFormat="1" ht="18.75" customHeight="1">
      <c r="A18" s="65"/>
      <c r="B18" s="66" t="s">
        <v>33</v>
      </c>
      <c r="C18" s="34" t="s">
        <v>27</v>
      </c>
      <c r="D18" s="35" t="s">
        <v>34</v>
      </c>
      <c r="E18" s="35" t="s">
        <v>36</v>
      </c>
      <c r="F18" s="35" t="s">
        <v>28</v>
      </c>
      <c r="G18" s="54" t="s">
        <v>29</v>
      </c>
      <c r="H18" s="55"/>
    </row>
    <row r="19" spans="1:8" s="29" customFormat="1">
      <c r="A19" s="65"/>
      <c r="B19" s="67"/>
      <c r="C19" s="30">
        <f>Hoja1!G26</f>
        <v>6</v>
      </c>
      <c r="D19" s="31">
        <f>Hoja1!M26</f>
        <v>301</v>
      </c>
      <c r="E19" s="31">
        <v>0</v>
      </c>
      <c r="F19" s="31">
        <f>IF($G$2="CONTADO",VLOOKUP('SUANIER - BBVA'!C19,Hoja1!$G$24:$L$30,5,0),IF($G$2="PRORRATEADA",VLOOKUP('SUANIER - BBVA'!C19,Hoja1!$G$24:$L$30,6,0),""))</f>
        <v>2333.333333333333</v>
      </c>
      <c r="G19" s="49" t="str">
        <f>IF($G$2="CONTADO",C19&amp;" recibos mas de "&amp;ROUND('SUANIER - BBVA'!F19,2)&amp;"€",IF($G$2="PRORRATEADA",C19&amp;" recibos de  "&amp;ROUND(VLOOKUP('SUANIER - BBVA'!C19,Hoja1!$G$24:$L$30,6,0),2)&amp;"€ (todo capital)",""))</f>
        <v>6 recibos de  2333,33€ (todo capital)</v>
      </c>
      <c r="H19" s="50"/>
    </row>
    <row r="20" spans="1:8" s="29" customFormat="1">
      <c r="A20" s="65"/>
      <c r="B20" s="67"/>
      <c r="C20" s="30">
        <f>Hoja1!G27</f>
        <v>12</v>
      </c>
      <c r="D20" s="31">
        <f>Hoja1!M27</f>
        <v>490.00000000000006</v>
      </c>
      <c r="E20" s="31">
        <v>0</v>
      </c>
      <c r="F20" s="31">
        <f>IF($G$2="CONTADO",VLOOKUP('SUANIER - BBVA'!C20,Hoja1!$G$24:$L$30,5,0),IF($G$2="PRORRATEADA",VLOOKUP('SUANIER - BBVA'!C20,Hoja1!$G$24:$L$30,6,0),""))</f>
        <v>1166.6666666666665</v>
      </c>
      <c r="G20" s="49" t="str">
        <f>IF($G$2="CONTADO",C20&amp;" recibos mas de "&amp;ROUND('SUANIER - BBVA'!F20,2)&amp;"€",IF($G$2="PRORRATEADA",C20&amp;" recibos de  "&amp;ROUND(VLOOKUP('SUANIER - BBVA'!C20,Hoja1!$G$24:$L$30,6,0),2)&amp;"€ (todo capital)",""))</f>
        <v>12 recibos de  1166,67€ (todo capital)</v>
      </c>
      <c r="H20" s="50"/>
    </row>
    <row r="21" spans="1:8" s="29" customFormat="1">
      <c r="A21" s="65"/>
      <c r="B21" s="67"/>
      <c r="C21" s="30">
        <f>Hoja1!G28</f>
        <v>18</v>
      </c>
      <c r="D21" s="31">
        <f>Hoja1!M28</f>
        <v>700</v>
      </c>
      <c r="E21" s="31">
        <v>0</v>
      </c>
      <c r="F21" s="31">
        <f>IF($G$2="CONTADO",VLOOKUP('SUANIER - BBVA'!C21,Hoja1!$G$24:$L$30,5,0),IF($G$2="PRORRATEADA",VLOOKUP('SUANIER - BBVA'!C21,Hoja1!$G$24:$L$30,6,0),""))</f>
        <v>777.77777777777771</v>
      </c>
      <c r="G21" s="49" t="str">
        <f>IF($G$2="CONTADO",C21&amp;" recibos mas de "&amp;ROUND('SUANIER - BBVA'!F21,2)&amp;"€",IF($G$2="PRORRATEADA",C21&amp;" recibos de  "&amp;ROUND(VLOOKUP('SUANIER - BBVA'!C21,Hoja1!$G$24:$L$30,6,0),2)&amp;"€ (todo capital)",""))</f>
        <v>18 recibos de  777,78€ (todo capital)</v>
      </c>
      <c r="H21" s="50"/>
    </row>
    <row r="22" spans="1:8" s="29" customFormat="1">
      <c r="A22" s="65"/>
      <c r="B22" s="67"/>
      <c r="C22" s="30">
        <f>Hoja1!G29</f>
        <v>24</v>
      </c>
      <c r="D22" s="31">
        <f>Hoja1!M29</f>
        <v>910</v>
      </c>
      <c r="E22" s="31">
        <v>0</v>
      </c>
      <c r="F22" s="31">
        <f>IF($G$2="CONTADO",VLOOKUP('SUANIER - BBVA'!C22,Hoja1!$G$24:$L$30,5,0),IF($G$2="PRORRATEADA",VLOOKUP('SUANIER - BBVA'!C22,Hoja1!$G$24:$L$30,6,0),""))</f>
        <v>583.33333333333326</v>
      </c>
      <c r="G22" s="49" t="str">
        <f>IF($G$2="CONTADO",C22&amp;" recibos mas de "&amp;ROUND('SUANIER - BBVA'!F22,2)&amp;"€",IF($G$2="PRORRATEADA",C22&amp;" recibos de  "&amp;ROUND(VLOOKUP('SUANIER - BBVA'!C22,Hoja1!$G$24:$L$30,6,0),2)&amp;"€ (todo capital)",""))</f>
        <v>24 recibos de  583,33€ (todo capital)</v>
      </c>
      <c r="H22" s="50"/>
    </row>
    <row r="23" spans="1:8" s="29" customFormat="1" ht="15" thickBot="1">
      <c r="A23" s="65"/>
      <c r="B23" s="68"/>
      <c r="C23" s="32">
        <f>Hoja1!G30</f>
        <v>36</v>
      </c>
      <c r="D23" s="33">
        <f>Hoja1!M30</f>
        <v>1316</v>
      </c>
      <c r="E23" s="33">
        <v>0</v>
      </c>
      <c r="F23" s="33">
        <f>IF($G$2="CONTADO",VLOOKUP('SUANIER - BBVA'!C23,Hoja1!$G$24:$L$30,5,0),IF($G$2="PRORRATEADA",VLOOKUP('SUANIER - BBVA'!C23,Hoja1!$G$24:$L$30,6,0),""))</f>
        <v>388.88888888888886</v>
      </c>
      <c r="G23" s="51" t="str">
        <f>IF($G$2="CONTADO",C23&amp;" recibos mas de "&amp;ROUND('SUANIER - BBVA'!F23,2)&amp;"€",IF($G$2="PRORRATEADA",C23&amp;" recibos de  "&amp;ROUND(VLOOKUP('SUANIER - BBVA'!C23,Hoja1!$G$24:$L$30,6,0),2)&amp;"€ (todo capital)",""))</f>
        <v>36 recibos de  388,89€ (todo capital)</v>
      </c>
      <c r="H23" s="52"/>
    </row>
    <row r="24" spans="1:8" ht="6" customHeight="1" thickBot="1"/>
    <row r="25" spans="1:8" ht="19.5" customHeight="1">
      <c r="A25" s="65" t="s">
        <v>19</v>
      </c>
      <c r="B25" s="71" t="str">
        <f>"COSTE CLIENTECODIGO 
TARIFA: "&amp;Hoja1!A8</f>
        <v>COSTE CLIENTECODIGO 
TARIFA: ER.32.CON.2207.R</v>
      </c>
      <c r="C25" s="34" t="s">
        <v>30</v>
      </c>
      <c r="D25" s="38" t="s">
        <v>34</v>
      </c>
      <c r="E25" s="38" t="s">
        <v>36</v>
      </c>
      <c r="F25" s="38" t="s">
        <v>28</v>
      </c>
      <c r="G25" s="54" t="s">
        <v>29</v>
      </c>
      <c r="H25" s="55"/>
    </row>
    <row r="26" spans="1:8" ht="14.4" customHeight="1">
      <c r="A26" s="65"/>
      <c r="B26" s="72"/>
      <c r="C26" s="39">
        <f>Hoja1!A10</f>
        <v>12</v>
      </c>
      <c r="D26" s="41">
        <v>0</v>
      </c>
      <c r="E26" s="41">
        <v>0</v>
      </c>
      <c r="F26" s="41">
        <f>Hoja1!E10</f>
        <v>1209.7615433161584</v>
      </c>
      <c r="G26" s="49" t="str">
        <f>C26&amp;" recibos de  "&amp;ROUND(VLOOKUP('SUANIER - BBVA'!C26,Hoja1!$A$9:$F$22,5,0),2)&amp;"€ (intereses incluidos "&amp;Hoja1!C8&amp;"% TIN)"</f>
        <v>12 recibos de  1209,76€ (intereses incluidos 6,75% TIN)</v>
      </c>
      <c r="H26" s="50"/>
    </row>
    <row r="27" spans="1:8" ht="14.4" customHeight="1">
      <c r="A27" s="65"/>
      <c r="B27" s="72"/>
      <c r="C27" s="39">
        <f>Hoja1!A11</f>
        <v>18</v>
      </c>
      <c r="D27" s="41">
        <v>0</v>
      </c>
      <c r="E27" s="41">
        <v>0</v>
      </c>
      <c r="F27" s="41">
        <f>Hoja1!E11</f>
        <v>820.00071152385806</v>
      </c>
      <c r="G27" s="49" t="str">
        <f>C27&amp;" recibos de  "&amp;ROUND(VLOOKUP('SUANIER - BBVA'!C27,Hoja1!$A$9:$F$22,5,0),2)&amp;"€ (intereses incluidos "&amp;Hoja1!C8&amp;"% TIN)"</f>
        <v>18 recibos de  820€ (intereses incluidos 6,75% TIN)</v>
      </c>
      <c r="H27" s="50"/>
    </row>
    <row r="28" spans="1:8" ht="14.4" customHeight="1">
      <c r="A28" s="65"/>
      <c r="B28" s="72"/>
      <c r="C28" s="39">
        <f>Hoja1!A12</f>
        <v>24</v>
      </c>
      <c r="D28" s="41">
        <v>0</v>
      </c>
      <c r="E28" s="41">
        <v>0</v>
      </c>
      <c r="F28" s="41">
        <f>Hoja1!E12</f>
        <v>625.23061293065018</v>
      </c>
      <c r="G28" s="49" t="str">
        <f>C28&amp;" recibos de  "&amp;ROUND(VLOOKUP('SUANIER - BBVA'!C28,Hoja1!$A$9:$F$22,5,0),2)&amp;"€(intereses incluidos "&amp;Hoja1!C8&amp;"% TIN)"</f>
        <v>24 recibos de  625,23€(intereses incluidos 6,75% TIN)</v>
      </c>
      <c r="H28" s="50"/>
    </row>
    <row r="29" spans="1:8" ht="14.4" customHeight="1">
      <c r="A29" s="65"/>
      <c r="B29" s="72"/>
      <c r="C29" s="39">
        <f>Hoja1!A13</f>
        <v>30</v>
      </c>
      <c r="D29" s="41">
        <v>0</v>
      </c>
      <c r="E29" s="41">
        <v>0</v>
      </c>
      <c r="F29" s="41">
        <f>Hoja1!E13</f>
        <v>508.45673769219621</v>
      </c>
      <c r="G29" s="49" t="str">
        <f>C29&amp;" recibos de  "&amp;ROUND(VLOOKUP('SUANIER - BBVA'!C29,Hoja1!$A$9:$F$22,5,0),2)&amp;"€ (intereses incluidos "&amp;Hoja1!C8&amp;"% TIN)"</f>
        <v>30 recibos de  508,46€ (intereses incluidos 6,75% TIN)</v>
      </c>
      <c r="H29" s="50"/>
    </row>
    <row r="30" spans="1:8" ht="14.4" customHeight="1">
      <c r="A30" s="65"/>
      <c r="B30" s="72"/>
      <c r="C30" s="39">
        <f>Hoja1!A14</f>
        <v>36</v>
      </c>
      <c r="D30" s="41">
        <v>0</v>
      </c>
      <c r="E30" s="41">
        <v>0</v>
      </c>
      <c r="F30" s="41">
        <f>Hoja1!E14</f>
        <v>430.68089929233844</v>
      </c>
      <c r="G30" s="49" t="str">
        <f>C30&amp;" recibos de  "&amp;ROUND(VLOOKUP('SUANIER - BBVA'!C30,Hoja1!$A$9:$F$22,5,0),2)&amp;"€ (intereses incluidos "&amp;Hoja1!C8&amp;"% TIN)"</f>
        <v>36 recibos de  430,68€ (intereses incluidos 6,75% TIN)</v>
      </c>
      <c r="H30" s="50"/>
    </row>
    <row r="31" spans="1:8" ht="14.4" customHeight="1">
      <c r="A31" s="65"/>
      <c r="B31" s="72"/>
      <c r="C31" s="39">
        <f>Hoja1!A15</f>
        <v>48</v>
      </c>
      <c r="D31" s="41">
        <v>0</v>
      </c>
      <c r="E31" s="41">
        <v>0</v>
      </c>
      <c r="F31" s="41">
        <f>Hoja1!E15</f>
        <v>333.62599138562007</v>
      </c>
      <c r="G31" s="49" t="str">
        <f>C31&amp;" recibos de  "&amp;ROUND(VLOOKUP('SUANIER - BBVA'!C31,Hoja1!$A$9:$F$22,5,0),2)&amp;"€ (intereses incluidos "&amp;Hoja1!C8&amp;"% TIN)"</f>
        <v>48 recibos de  333,63€ (intereses incluidos 6,75% TIN)</v>
      </c>
      <c r="H31" s="50"/>
    </row>
    <row r="32" spans="1:8" ht="14.4" customHeight="1">
      <c r="A32" s="65"/>
      <c r="B32" s="72"/>
      <c r="C32" s="39">
        <f>Hoja1!A16</f>
        <v>60</v>
      </c>
      <c r="D32" s="41">
        <v>0</v>
      </c>
      <c r="E32" s="41">
        <v>0</v>
      </c>
      <c r="F32" s="41">
        <f>Hoja1!E16</f>
        <v>275.56844930321381</v>
      </c>
      <c r="G32" s="49" t="str">
        <f>C32&amp;" recibos de  "&amp;ROUND(VLOOKUP('SUANIER - BBVA'!C32,Hoja1!$A$9:$F$22,5,0),2)&amp;"€ (intereses incluidos "&amp;Hoja1!C8&amp;"% TIN)"</f>
        <v>60 recibos de  275,57€ (intereses incluidos 6,75% TIN)</v>
      </c>
      <c r="H32" s="50"/>
    </row>
    <row r="33" spans="1:8" ht="14.4" customHeight="1">
      <c r="A33" s="65"/>
      <c r="B33" s="72"/>
      <c r="C33" s="39">
        <f>Hoja1!A17</f>
        <v>72</v>
      </c>
      <c r="D33" s="41">
        <v>0</v>
      </c>
      <c r="E33" s="41">
        <v>0</v>
      </c>
      <c r="F33" s="41">
        <f>Hoja1!E17</f>
        <v>237.00899647909944</v>
      </c>
      <c r="G33" s="49" t="str">
        <f>C33&amp;" recibos de  "&amp;ROUND(VLOOKUP('SUANIER - BBVA'!C33,Hoja1!$A$9:$F$22,5,0),2)&amp;"€ (intereses incluidos "&amp;Hoja1!C8&amp;"% TIN)"</f>
        <v>72 recibos de  237,01€ (intereses incluidos 6,75% TIN)</v>
      </c>
      <c r="H33" s="50"/>
    </row>
    <row r="34" spans="1:8" ht="14.4" customHeight="1">
      <c r="A34" s="65"/>
      <c r="B34" s="72"/>
      <c r="C34" s="39">
        <f>Hoja1!A18</f>
        <v>84</v>
      </c>
      <c r="D34" s="41">
        <v>0</v>
      </c>
      <c r="E34" s="41">
        <v>0</v>
      </c>
      <c r="F34" s="41">
        <f>Hoja1!E18</f>
        <v>209.59069035855364</v>
      </c>
      <c r="G34" s="49" t="str">
        <f>C34&amp;" recibos de  "&amp;ROUND(VLOOKUP('SUANIER - BBVA'!C34,Hoja1!$A$9:$F$22,5,0),2)&amp;"€ (intereses incluidos "&amp;Hoja1!C8&amp;"% TIN)"</f>
        <v>84 recibos de  209,59€ (intereses incluidos 6,75% TIN)</v>
      </c>
      <c r="H34" s="50"/>
    </row>
    <row r="35" spans="1:8" ht="14.4" customHeight="1">
      <c r="A35" s="65"/>
      <c r="B35" s="72"/>
      <c r="C35" s="39">
        <f>Hoja1!A19</f>
        <v>96</v>
      </c>
      <c r="D35" s="41">
        <v>0</v>
      </c>
      <c r="E35" s="41">
        <v>0</v>
      </c>
      <c r="F35" s="41">
        <f>Hoja1!E19</f>
        <v>189.13496536392182</v>
      </c>
      <c r="G35" s="49" t="str">
        <f>C35&amp;" recibos de  "&amp;ROUND(VLOOKUP('SUANIER - BBVA'!C35,Hoja1!$A$9:$F$22,5,0),2)&amp;"€ (intereses incluidos "&amp;Hoja1!C8&amp;"% TIN)"</f>
        <v>96 recibos de  189,13€ (intereses incluidos 6,75% TIN)</v>
      </c>
      <c r="H35" s="50"/>
    </row>
    <row r="36" spans="1:8" ht="14.4" customHeight="1">
      <c r="A36" s="65"/>
      <c r="B36" s="72"/>
      <c r="C36" s="39">
        <f>Hoja1!A20</f>
        <v>108</v>
      </c>
      <c r="D36" s="41">
        <v>0</v>
      </c>
      <c r="E36" s="41">
        <v>0</v>
      </c>
      <c r="F36" s="41">
        <f>Hoja1!E20</f>
        <v>173.32031413882623</v>
      </c>
      <c r="G36" s="49" t="str">
        <f>C36&amp;" recibos de  "&amp;ROUND(VLOOKUP('SUANIER - BBVA'!C36,Hoja1!$A$9:$F$22,5,0),2)&amp;"€ (intereses incluidos "&amp;Hoja1!C8&amp;"% TIN)"</f>
        <v>108 recibos de  173,32€ (intereses incluidos 6,75% TIN)</v>
      </c>
      <c r="H36" s="50"/>
    </row>
    <row r="37" spans="1:8" ht="15" customHeight="1" thickBot="1">
      <c r="A37" s="65"/>
      <c r="B37" s="72"/>
      <c r="C37" s="39">
        <f>Hoja1!A21</f>
        <v>120</v>
      </c>
      <c r="D37" s="41">
        <v>0</v>
      </c>
      <c r="E37" s="41">
        <v>0</v>
      </c>
      <c r="F37" s="42">
        <f>Hoja1!E21</f>
        <v>160.75376026600213</v>
      </c>
      <c r="G37" s="49" t="str">
        <f>C37&amp;" recibos de  "&amp;ROUND(VLOOKUP('SUANIER - BBVA'!C37,Hoja1!$A$9:$F$22,5,0),2)&amp;"€ (intereses incluidos "&amp;Hoja1!C8&amp;"% TIN)"</f>
        <v>120 recibos de  160,75€ (intereses incluidos 6,75% TIN)</v>
      </c>
      <c r="H37" s="50"/>
    </row>
    <row r="38" spans="1:8" ht="14.55" customHeight="1">
      <c r="A38" s="65"/>
      <c r="B38" s="72"/>
      <c r="C38" s="39">
        <v>132</v>
      </c>
      <c r="D38" s="41">
        <v>0</v>
      </c>
      <c r="E38" s="41">
        <v>0</v>
      </c>
      <c r="F38" s="43"/>
      <c r="G38" s="49" t="str">
        <f>C38&amp;" recibos de  "&amp;ROUND(VLOOKUP('SUANIER - BBVA'!C38,Hoja1!$A$9:$F$22,5,0),2)&amp;"€ (intereses incluidos "&amp;Hoja1!C8&amp;"% TIN)"</f>
        <v>132 recibos de  150,55€ (intereses incluidos 6,75% TIN)</v>
      </c>
      <c r="H38" s="50"/>
    </row>
    <row r="39" spans="1:8" ht="15" thickBot="1">
      <c r="A39" s="65"/>
      <c r="B39" s="72"/>
      <c r="C39" s="40">
        <v>144</v>
      </c>
      <c r="D39" s="42">
        <v>0</v>
      </c>
      <c r="E39" s="42">
        <v>0</v>
      </c>
      <c r="F39" s="44"/>
      <c r="G39" s="73" t="str">
        <f>C39&amp;" recibos de  "&amp;ROUND(VLOOKUP('SUANIER - BBVA'!C39,Hoja1!$A$9:$F$25,5,0),2)&amp;"€ (intereses incluidos "&amp;Hoja1!C8&amp;"% TIN)"</f>
        <v>144 recibos de  142,11€ (intereses incluidos 6,75% TIN)</v>
      </c>
      <c r="H39" s="74"/>
    </row>
    <row r="40" spans="1:8">
      <c r="E40" s="43"/>
    </row>
  </sheetData>
  <sheetProtection algorithmName="SHA-512" hashValue="qOfst8js/hBdFR+OhcDOFG3JskwVORR8Vc+PDZ/5K51Bu57wrOEdCNWY3bkQNJdadCIaj9NveEqh8CKx+H9nTQ==" saltValue="ch+omEChd1DVU3Be3KlBag==" spinCount="100000" sheet="1" objects="1" scenarios="1"/>
  <mergeCells count="46">
    <mergeCell ref="F9:F10"/>
    <mergeCell ref="F7:F8"/>
    <mergeCell ref="D7:D10"/>
    <mergeCell ref="E7:E10"/>
    <mergeCell ref="A6:A10"/>
    <mergeCell ref="A25:A39"/>
    <mergeCell ref="B25:B39"/>
    <mergeCell ref="G23:H23"/>
    <mergeCell ref="G18:H18"/>
    <mergeCell ref="G25:H25"/>
    <mergeCell ref="G26:H26"/>
    <mergeCell ref="G19:H19"/>
    <mergeCell ref="G20:H20"/>
    <mergeCell ref="G21:H21"/>
    <mergeCell ref="G22:H22"/>
    <mergeCell ref="G39:H39"/>
    <mergeCell ref="G37:H37"/>
    <mergeCell ref="G32:H32"/>
    <mergeCell ref="G33:H33"/>
    <mergeCell ref="G34:H34"/>
    <mergeCell ref="G35:H35"/>
    <mergeCell ref="C2:C4"/>
    <mergeCell ref="A2:B4"/>
    <mergeCell ref="D2:E4"/>
    <mergeCell ref="A12:A23"/>
    <mergeCell ref="B12:B17"/>
    <mergeCell ref="B18:B23"/>
    <mergeCell ref="B6:B10"/>
    <mergeCell ref="C7:C10"/>
    <mergeCell ref="G13:H13"/>
    <mergeCell ref="G29:H29"/>
    <mergeCell ref="G30:H30"/>
    <mergeCell ref="G31:H31"/>
    <mergeCell ref="H2:H4"/>
    <mergeCell ref="G7:H10"/>
    <mergeCell ref="G6:H6"/>
    <mergeCell ref="G12:H12"/>
    <mergeCell ref="G2:G4"/>
    <mergeCell ref="G38:H38"/>
    <mergeCell ref="G27:H27"/>
    <mergeCell ref="G28:H28"/>
    <mergeCell ref="G14:H14"/>
    <mergeCell ref="G15:H15"/>
    <mergeCell ref="G16:H16"/>
    <mergeCell ref="G17:H17"/>
    <mergeCell ref="G36:H3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Hoja1!$C$3:$C$4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V63"/>
  <sheetViews>
    <sheetView workbookViewId="0">
      <selection activeCell="H10" sqref="H10:H14"/>
    </sheetView>
  </sheetViews>
  <sheetFormatPr baseColWidth="10" defaultRowHeight="14.4"/>
  <cols>
    <col min="5" max="5" width="14.77734375" bestFit="1" customWidth="1"/>
    <col min="6" max="6" width="17.6640625" bestFit="1" customWidth="1"/>
    <col min="10" max="10" width="18.109375" customWidth="1"/>
    <col min="11" max="12" width="14" bestFit="1" customWidth="1"/>
    <col min="13" max="13" width="13.77734375" bestFit="1" customWidth="1"/>
    <col min="14" max="14" width="14" bestFit="1" customWidth="1"/>
    <col min="16" max="16" width="12.6640625" style="16" bestFit="1" customWidth="1"/>
    <col min="17" max="17" width="12" style="16" bestFit="1" customWidth="1"/>
    <col min="18" max="18" width="11.44140625" style="16"/>
    <col min="19" max="19" width="2.44140625" style="16" customWidth="1"/>
    <col min="20" max="20" width="12.6640625" style="16" bestFit="1" customWidth="1"/>
    <col min="21" max="21" width="12" style="16" bestFit="1" customWidth="1"/>
    <col min="22" max="22" width="11.44140625" style="16"/>
  </cols>
  <sheetData>
    <row r="1" spans="1:22">
      <c r="F1">
        <f>'SUANIER - BBVA'!C2</f>
        <v>14000</v>
      </c>
    </row>
    <row r="2" spans="1:22">
      <c r="F2" t="str">
        <f>'SUANIER - BBVA'!G2</f>
        <v>PRORRATEADA</v>
      </c>
      <c r="P2" s="16" t="s">
        <v>8</v>
      </c>
      <c r="Q2" s="17">
        <f>'SUANIER - BBVA'!C2</f>
        <v>14000</v>
      </c>
      <c r="T2" s="16" t="s">
        <v>8</v>
      </c>
      <c r="U2" s="17">
        <f>('SUANIER - BBVA'!C2+('SUANIER - BBVA'!C2*Q3))</f>
        <v>14140</v>
      </c>
    </row>
    <row r="3" spans="1:22">
      <c r="C3" t="s">
        <v>21</v>
      </c>
      <c r="P3" s="16" t="s">
        <v>1</v>
      </c>
      <c r="Q3" s="18">
        <v>0.01</v>
      </c>
      <c r="R3" s="19">
        <f>+Q3*Q2</f>
        <v>140</v>
      </c>
      <c r="T3" s="16" t="s">
        <v>1</v>
      </c>
      <c r="U3" s="18">
        <v>0.01</v>
      </c>
      <c r="V3" s="19">
        <f>+U3*U2</f>
        <v>141.4</v>
      </c>
    </row>
    <row r="4" spans="1:22">
      <c r="C4" t="s">
        <v>22</v>
      </c>
      <c r="G4" s="27"/>
      <c r="H4" s="27"/>
      <c r="I4" s="27"/>
      <c r="J4" s="27"/>
      <c r="K4" s="27"/>
      <c r="L4" s="27"/>
      <c r="M4" s="27"/>
      <c r="P4" s="16" t="s">
        <v>9</v>
      </c>
      <c r="Q4" s="18">
        <v>2.5000000000000001E-2</v>
      </c>
      <c r="R4" s="19">
        <f>+Q4*Q2</f>
        <v>350</v>
      </c>
      <c r="T4" s="16" t="s">
        <v>9</v>
      </c>
      <c r="U4" s="18">
        <v>2.5000000000000001E-2</v>
      </c>
      <c r="V4" s="19">
        <f>+U4*U2</f>
        <v>353.5</v>
      </c>
    </row>
    <row r="5" spans="1:22">
      <c r="G5" s="27"/>
      <c r="H5" s="27"/>
      <c r="I5" s="27"/>
      <c r="J5" s="27"/>
      <c r="K5" s="27"/>
      <c r="L5" s="27"/>
      <c r="M5" s="27"/>
      <c r="P5" s="16" t="s">
        <v>10</v>
      </c>
      <c r="Q5" s="16">
        <v>48</v>
      </c>
      <c r="T5" s="16" t="s">
        <v>10</v>
      </c>
      <c r="U5" s="16">
        <v>48</v>
      </c>
    </row>
    <row r="6" spans="1:22">
      <c r="G6" s="27"/>
      <c r="H6" s="27"/>
      <c r="I6" s="27"/>
      <c r="J6" s="27"/>
      <c r="K6" s="27"/>
      <c r="L6" s="27"/>
      <c r="M6" s="27"/>
      <c r="P6" s="16" t="s">
        <v>11</v>
      </c>
      <c r="Q6" s="20">
        <v>24</v>
      </c>
      <c r="T6" s="16" t="s">
        <v>11</v>
      </c>
      <c r="U6" s="20">
        <v>24</v>
      </c>
    </row>
    <row r="7" spans="1:22" ht="15" thickBot="1">
      <c r="P7" s="16" t="s">
        <v>12</v>
      </c>
      <c r="Q7" s="21">
        <v>7.4999999999999997E-2</v>
      </c>
      <c r="T7" s="16" t="s">
        <v>12</v>
      </c>
      <c r="U7" s="21">
        <v>7.4999999999999997E-2</v>
      </c>
    </row>
    <row r="8" spans="1:22" ht="15" thickBot="1">
      <c r="A8" s="78" t="s">
        <v>39</v>
      </c>
      <c r="B8" s="79"/>
      <c r="C8" s="36">
        <v>6.75</v>
      </c>
      <c r="G8" s="78" t="s">
        <v>37</v>
      </c>
      <c r="H8" s="79"/>
      <c r="P8" s="16" t="s">
        <v>13</v>
      </c>
      <c r="Q8" s="22">
        <f>+PMT(Q7/12,Q5,-Q2,0,0)</f>
        <v>338.50462712823725</v>
      </c>
      <c r="T8" s="16" t="s">
        <v>13</v>
      </c>
      <c r="U8" s="22">
        <f>+PMT(U7/12,U5,-U2,0,0)</f>
        <v>341.88967339951961</v>
      </c>
    </row>
    <row r="9" spans="1:22" ht="27" thickBot="1">
      <c r="A9" s="9" t="s">
        <v>0</v>
      </c>
      <c r="B9" s="9" t="s">
        <v>1</v>
      </c>
      <c r="C9" s="10" t="s">
        <v>3</v>
      </c>
      <c r="D9" s="11" t="s">
        <v>7</v>
      </c>
      <c r="E9" t="s">
        <v>23</v>
      </c>
      <c r="F9" t="s">
        <v>24</v>
      </c>
      <c r="G9" s="1" t="s">
        <v>0</v>
      </c>
      <c r="H9" s="2" t="s">
        <v>1</v>
      </c>
      <c r="I9" s="2" t="s">
        <v>2</v>
      </c>
      <c r="J9" s="1" t="s">
        <v>7</v>
      </c>
      <c r="K9" t="s">
        <v>23</v>
      </c>
      <c r="L9" t="s">
        <v>24</v>
      </c>
      <c r="M9" t="s">
        <v>25</v>
      </c>
      <c r="N9" t="s">
        <v>26</v>
      </c>
      <c r="P9" s="16" t="s">
        <v>14</v>
      </c>
      <c r="Q9" s="22">
        <f>+FV(Q7/12,Q6,Q8,-Q2,0)</f>
        <v>7522.3931413968967</v>
      </c>
      <c r="T9" s="16" t="s">
        <v>14</v>
      </c>
      <c r="U9" s="22">
        <f>+FV(U7/12,U6,U8,-U2,0)</f>
        <v>7597.6170728108646</v>
      </c>
    </row>
    <row r="10" spans="1:22">
      <c r="A10" s="12">
        <v>12</v>
      </c>
      <c r="B10" s="13">
        <v>0</v>
      </c>
      <c r="C10" s="14">
        <v>6.7500000000000004E-2</v>
      </c>
      <c r="D10" s="15">
        <f>PMT(C10/12,A10,-1,0)</f>
        <v>8.6411538808297023E-2</v>
      </c>
      <c r="E10" s="26">
        <f>$F$1*D10</f>
        <v>1209.7615433161584</v>
      </c>
      <c r="F10" s="26">
        <f>$F$1*D10</f>
        <v>1209.7615433161584</v>
      </c>
      <c r="G10" s="3">
        <v>6</v>
      </c>
      <c r="H10" s="4">
        <v>2.1499999999999998E-2</v>
      </c>
      <c r="I10" s="4">
        <v>0</v>
      </c>
      <c r="J10" s="48">
        <f>IF(G10="","",IF($F$13=2,(1+(1*H10))/G10,1/G10))</f>
        <v>0.16666666666666666</v>
      </c>
      <c r="K10" s="26">
        <f>$F$1*J10</f>
        <v>2333.333333333333</v>
      </c>
      <c r="L10" s="26">
        <f>($F$1+($F$1*H10))*J10</f>
        <v>2383.5</v>
      </c>
      <c r="M10" s="26">
        <f>$F$1*I10</f>
        <v>0</v>
      </c>
      <c r="N10" s="26">
        <f>$F$1*H10</f>
        <v>301</v>
      </c>
      <c r="P10" s="16" t="s">
        <v>15</v>
      </c>
      <c r="Q10" s="16">
        <f>+Q5-Q6</f>
        <v>24</v>
      </c>
      <c r="T10" s="16" t="s">
        <v>15</v>
      </c>
      <c r="U10" s="16">
        <f>+U5-U6</f>
        <v>24</v>
      </c>
    </row>
    <row r="11" spans="1:22">
      <c r="A11" s="12">
        <v>18</v>
      </c>
      <c r="B11" s="13">
        <v>0</v>
      </c>
      <c r="C11" s="14">
        <v>6.7500000000000004E-2</v>
      </c>
      <c r="D11" s="15">
        <f t="shared" ref="D11:D20" si="0">PMT(C11/12,A11,-1,0)</f>
        <v>5.8571479394561289E-2</v>
      </c>
      <c r="E11" s="26">
        <f t="shared" ref="E11:E20" si="1">$F$1*D11</f>
        <v>820.00071152385806</v>
      </c>
      <c r="F11" s="26">
        <f t="shared" ref="F11:F20" si="2">$F$1*D11</f>
        <v>820.00071152385806</v>
      </c>
      <c r="G11" s="5">
        <v>12</v>
      </c>
      <c r="H11" s="6">
        <v>3.5000000000000003E-2</v>
      </c>
      <c r="I11" s="6">
        <v>0</v>
      </c>
      <c r="J11" s="15">
        <f t="shared" ref="J11:J14" si="3">IF(G11="","",IF($F$13=2,(1+(1*H11))/G11,1/G11))</f>
        <v>8.3333333333333329E-2</v>
      </c>
      <c r="K11" s="26">
        <f t="shared" ref="K11:K14" si="4">$F$1*J11</f>
        <v>1166.6666666666665</v>
      </c>
      <c r="L11" s="26">
        <f t="shared" ref="L11:L14" si="5">($F$1+($F$1*H11))*J11</f>
        <v>1207.5</v>
      </c>
      <c r="M11" s="26">
        <f t="shared" ref="M11:M14" si="6">$F$1*I11</f>
        <v>0</v>
      </c>
      <c r="N11" s="26">
        <f t="shared" ref="N11:N14" si="7">$F$1*H11</f>
        <v>490.00000000000006</v>
      </c>
      <c r="P11" s="16" t="s">
        <v>16</v>
      </c>
      <c r="Q11" s="23">
        <v>0</v>
      </c>
      <c r="T11" s="16" t="s">
        <v>16</v>
      </c>
      <c r="U11" s="23">
        <v>0</v>
      </c>
    </row>
    <row r="12" spans="1:22">
      <c r="A12" s="12">
        <v>24</v>
      </c>
      <c r="B12" s="13">
        <v>0</v>
      </c>
      <c r="C12" s="14">
        <v>6.7500000000000004E-2</v>
      </c>
      <c r="D12" s="15">
        <f t="shared" si="0"/>
        <v>4.4659329495046439E-2</v>
      </c>
      <c r="E12" s="26">
        <f t="shared" si="1"/>
        <v>625.23061293065018</v>
      </c>
      <c r="F12" s="26">
        <f t="shared" si="2"/>
        <v>625.23061293065018</v>
      </c>
      <c r="G12" s="5">
        <v>18</v>
      </c>
      <c r="H12" s="6">
        <v>0.05</v>
      </c>
      <c r="I12" s="6">
        <v>0</v>
      </c>
      <c r="J12" s="15">
        <f t="shared" si="3"/>
        <v>5.5555555555555552E-2</v>
      </c>
      <c r="K12" s="26">
        <f t="shared" si="4"/>
        <v>777.77777777777771</v>
      </c>
      <c r="L12" s="26">
        <f t="shared" si="5"/>
        <v>816.66666666666663</v>
      </c>
      <c r="M12" s="26">
        <f t="shared" si="6"/>
        <v>0</v>
      </c>
      <c r="N12" s="26">
        <f t="shared" si="7"/>
        <v>700</v>
      </c>
      <c r="P12" s="16" t="s">
        <v>17</v>
      </c>
      <c r="Q12" s="22">
        <f>+PMT(Q11/12,Q10,-Q9,0,0)</f>
        <v>313.43304755820401</v>
      </c>
      <c r="T12" s="16" t="s">
        <v>17</v>
      </c>
      <c r="U12" s="22">
        <f>+PMT(U11/12,U10,-U9,0,0)</f>
        <v>316.56737803378604</v>
      </c>
    </row>
    <row r="13" spans="1:22">
      <c r="A13" s="12">
        <v>30</v>
      </c>
      <c r="B13" s="13">
        <v>0</v>
      </c>
      <c r="C13" s="14">
        <v>6.7500000000000004E-2</v>
      </c>
      <c r="D13" s="15">
        <f t="shared" si="0"/>
        <v>3.6318338406585444E-2</v>
      </c>
      <c r="E13" s="26">
        <f t="shared" si="1"/>
        <v>508.45673769219621</v>
      </c>
      <c r="F13" s="26">
        <f t="shared" si="2"/>
        <v>508.45673769219621</v>
      </c>
      <c r="G13" s="5">
        <v>24</v>
      </c>
      <c r="H13" s="6">
        <v>6.5000000000000002E-2</v>
      </c>
      <c r="I13" s="6">
        <v>0</v>
      </c>
      <c r="J13" s="15">
        <f>IF(G13="","",IF($F$13=2,(1+(1*H13))/G13,1/G13))</f>
        <v>4.1666666666666664E-2</v>
      </c>
      <c r="K13" s="26">
        <f t="shared" si="4"/>
        <v>583.33333333333326</v>
      </c>
      <c r="L13" s="26">
        <f t="shared" si="5"/>
        <v>621.25</v>
      </c>
      <c r="M13" s="26">
        <f t="shared" si="6"/>
        <v>0</v>
      </c>
      <c r="N13" s="26">
        <f t="shared" si="7"/>
        <v>910</v>
      </c>
      <c r="P13" s="24" t="s">
        <v>4</v>
      </c>
      <c r="Q13" s="25">
        <f>+IRR(Q15:Q63,0.0025)*12</f>
        <v>7.5400147422243435E-2</v>
      </c>
      <c r="T13" s="24" t="s">
        <v>4</v>
      </c>
      <c r="U13" s="25">
        <f>+IRR(U15:U63,0.0025)*12</f>
        <v>7.5400147422243435E-2</v>
      </c>
    </row>
    <row r="14" spans="1:22">
      <c r="A14" s="12">
        <v>36</v>
      </c>
      <c r="B14" s="13">
        <v>0</v>
      </c>
      <c r="C14" s="14">
        <v>6.7500000000000004E-2</v>
      </c>
      <c r="D14" s="15">
        <f t="shared" si="0"/>
        <v>3.0762921378024173E-2</v>
      </c>
      <c r="E14" s="26">
        <f t="shared" si="1"/>
        <v>430.68089929233844</v>
      </c>
      <c r="F14" s="26">
        <f t="shared" si="2"/>
        <v>430.68089929233844</v>
      </c>
      <c r="G14" s="5">
        <v>36</v>
      </c>
      <c r="H14" s="6">
        <v>9.4E-2</v>
      </c>
      <c r="I14" s="6">
        <v>0</v>
      </c>
      <c r="J14" s="15">
        <f t="shared" si="3"/>
        <v>2.7777777777777776E-2</v>
      </c>
      <c r="K14" s="26">
        <f t="shared" si="4"/>
        <v>388.88888888888886</v>
      </c>
      <c r="L14" s="26">
        <f t="shared" si="5"/>
        <v>425.4444444444444</v>
      </c>
      <c r="M14" s="26">
        <f t="shared" si="6"/>
        <v>0</v>
      </c>
      <c r="N14" s="26">
        <f t="shared" si="7"/>
        <v>1316</v>
      </c>
    </row>
    <row r="15" spans="1:22" ht="15" thickBot="1">
      <c r="A15" s="12">
        <v>48</v>
      </c>
      <c r="B15" s="13">
        <v>0</v>
      </c>
      <c r="C15" s="14">
        <v>6.7500000000000004E-2</v>
      </c>
      <c r="D15" s="15">
        <f t="shared" si="0"/>
        <v>2.3830427956115719E-2</v>
      </c>
      <c r="E15" s="26">
        <f t="shared" si="1"/>
        <v>333.62599138562007</v>
      </c>
      <c r="F15" s="26">
        <f t="shared" si="2"/>
        <v>333.62599138562007</v>
      </c>
      <c r="K15" s="26"/>
      <c r="L15" s="26"/>
      <c r="P15" s="16">
        <v>0</v>
      </c>
      <c r="Q15" s="19">
        <f>-Q2+R3+R4</f>
        <v>-13510</v>
      </c>
      <c r="T15" s="16">
        <v>0</v>
      </c>
      <c r="U15" s="19">
        <f>-U2+V3+V4</f>
        <v>-13645.1</v>
      </c>
    </row>
    <row r="16" spans="1:22" ht="15" thickBot="1">
      <c r="A16" s="12">
        <v>60</v>
      </c>
      <c r="B16" s="13">
        <v>0</v>
      </c>
      <c r="C16" s="14">
        <v>6.7500000000000004E-2</v>
      </c>
      <c r="D16" s="15">
        <f t="shared" si="0"/>
        <v>1.9683460664515273E-2</v>
      </c>
      <c r="E16" s="26">
        <f t="shared" si="1"/>
        <v>275.56844930321381</v>
      </c>
      <c r="F16" s="26">
        <f t="shared" si="2"/>
        <v>275.56844930321381</v>
      </c>
      <c r="G16" s="78" t="s">
        <v>6</v>
      </c>
      <c r="H16" s="79"/>
      <c r="P16" s="16">
        <v>1</v>
      </c>
      <c r="Q16" s="22">
        <f>$Q$8</f>
        <v>338.50462712823725</v>
      </c>
      <c r="T16" s="16">
        <v>1</v>
      </c>
      <c r="U16" s="22">
        <f>$U$8</f>
        <v>341.88967339951961</v>
      </c>
    </row>
    <row r="17" spans="1:21" ht="27" thickBot="1">
      <c r="A17" s="12">
        <v>72</v>
      </c>
      <c r="B17" s="13">
        <v>0</v>
      </c>
      <c r="C17" s="14">
        <v>6.7500000000000004E-2</v>
      </c>
      <c r="D17" s="15">
        <f t="shared" si="0"/>
        <v>1.6929214034221388E-2</v>
      </c>
      <c r="E17" s="26">
        <f t="shared" si="1"/>
        <v>237.00899647909944</v>
      </c>
      <c r="F17" s="26">
        <f t="shared" si="2"/>
        <v>237.00899647909944</v>
      </c>
      <c r="G17" s="1" t="s">
        <v>0</v>
      </c>
      <c r="H17" s="1" t="s">
        <v>1</v>
      </c>
      <c r="I17" s="2" t="s">
        <v>2</v>
      </c>
      <c r="J17" s="1" t="s">
        <v>7</v>
      </c>
      <c r="K17" t="s">
        <v>23</v>
      </c>
      <c r="L17" t="s">
        <v>24</v>
      </c>
      <c r="M17" t="s">
        <v>25</v>
      </c>
      <c r="N17" t="s">
        <v>26</v>
      </c>
      <c r="P17" s="16">
        <v>2</v>
      </c>
      <c r="Q17" s="22">
        <f t="shared" ref="Q17:Q39" si="8">$Q$8</f>
        <v>338.50462712823725</v>
      </c>
      <c r="T17" s="16">
        <v>2</v>
      </c>
      <c r="U17" s="22">
        <f t="shared" ref="U17:U39" si="9">$U$8</f>
        <v>341.88967339951961</v>
      </c>
    </row>
    <row r="18" spans="1:21">
      <c r="A18" s="12">
        <v>84</v>
      </c>
      <c r="B18" s="13">
        <v>0</v>
      </c>
      <c r="C18" s="14">
        <v>6.7500000000000004E-2</v>
      </c>
      <c r="D18" s="15">
        <f t="shared" si="0"/>
        <v>1.4970763597039546E-2</v>
      </c>
      <c r="E18" s="26">
        <f t="shared" si="1"/>
        <v>209.59069035855364</v>
      </c>
      <c r="F18" s="26">
        <f t="shared" si="2"/>
        <v>209.59069035855364</v>
      </c>
      <c r="G18" s="3"/>
      <c r="H18" s="4"/>
      <c r="I18" s="4"/>
      <c r="J18" s="7"/>
      <c r="K18" s="26">
        <f>$F$1*J18</f>
        <v>0</v>
      </c>
      <c r="L18" s="26">
        <f>($F$1+($F$1*H18))*J18</f>
        <v>0</v>
      </c>
      <c r="M18" s="26">
        <f>$F$1*I18</f>
        <v>0</v>
      </c>
      <c r="N18" s="26">
        <f>$F$1*H18</f>
        <v>0</v>
      </c>
      <c r="P18" s="16">
        <v>3</v>
      </c>
      <c r="Q18" s="22">
        <f t="shared" si="8"/>
        <v>338.50462712823725</v>
      </c>
      <c r="T18" s="16">
        <v>3</v>
      </c>
      <c r="U18" s="22">
        <f t="shared" si="9"/>
        <v>341.88967339951961</v>
      </c>
    </row>
    <row r="19" spans="1:21">
      <c r="A19" s="12">
        <v>96</v>
      </c>
      <c r="B19" s="13">
        <v>0</v>
      </c>
      <c r="C19" s="14">
        <v>6.7500000000000004E-2</v>
      </c>
      <c r="D19" s="15">
        <f t="shared" si="0"/>
        <v>1.3509640383137273E-2</v>
      </c>
      <c r="E19" s="26">
        <f t="shared" si="1"/>
        <v>189.13496536392182</v>
      </c>
      <c r="F19" s="26">
        <f t="shared" si="2"/>
        <v>189.13496536392182</v>
      </c>
      <c r="G19" s="5">
        <v>12</v>
      </c>
      <c r="H19" s="6">
        <v>3.2000000000000001E-2</v>
      </c>
      <c r="I19" s="6">
        <v>8.9999999999999993E-3</v>
      </c>
      <c r="J19" s="8">
        <v>8.3333333333333329E-2</v>
      </c>
      <c r="K19" s="26">
        <f t="shared" ref="K19:K22" si="10">$F$1*J19</f>
        <v>1166.6666666666665</v>
      </c>
      <c r="L19" s="26">
        <f t="shared" ref="L19:L22" si="11">($F$1+($F$1*H19))*J19</f>
        <v>1204</v>
      </c>
      <c r="M19" s="26">
        <f t="shared" ref="M19:M22" si="12">$F$1*I19</f>
        <v>125.99999999999999</v>
      </c>
      <c r="N19" s="26">
        <f t="shared" ref="N19:N22" si="13">$F$1*H19</f>
        <v>448</v>
      </c>
      <c r="P19" s="16">
        <v>4</v>
      </c>
      <c r="Q19" s="22">
        <f t="shared" si="8"/>
        <v>338.50462712823725</v>
      </c>
      <c r="T19" s="16">
        <v>4</v>
      </c>
      <c r="U19" s="22">
        <f t="shared" si="9"/>
        <v>341.88967339951961</v>
      </c>
    </row>
    <row r="20" spans="1:21">
      <c r="A20" s="12">
        <v>108</v>
      </c>
      <c r="B20" s="13">
        <v>0</v>
      </c>
      <c r="C20" s="14">
        <v>6.7500000000000004E-2</v>
      </c>
      <c r="D20" s="15">
        <f t="shared" si="0"/>
        <v>1.2380022438487587E-2</v>
      </c>
      <c r="E20" s="26">
        <f t="shared" si="1"/>
        <v>173.32031413882623</v>
      </c>
      <c r="F20" s="26">
        <f t="shared" si="2"/>
        <v>173.32031413882623</v>
      </c>
      <c r="G20" s="5">
        <v>18</v>
      </c>
      <c r="H20" s="6">
        <v>3.5499999999999997E-2</v>
      </c>
      <c r="I20" s="6">
        <v>2.1499999999999998E-2</v>
      </c>
      <c r="J20" s="8">
        <v>5.5555555555555552E-2</v>
      </c>
      <c r="K20" s="26">
        <f t="shared" si="10"/>
        <v>777.77777777777771</v>
      </c>
      <c r="L20" s="26">
        <f t="shared" si="11"/>
        <v>805.3888888888888</v>
      </c>
      <c r="M20" s="26">
        <f t="shared" si="12"/>
        <v>301</v>
      </c>
      <c r="N20" s="26">
        <f t="shared" si="13"/>
        <v>496.99999999999994</v>
      </c>
      <c r="P20" s="16">
        <v>5</v>
      </c>
      <c r="Q20" s="22">
        <f t="shared" si="8"/>
        <v>338.50462712823725</v>
      </c>
      <c r="T20" s="16">
        <v>5</v>
      </c>
      <c r="U20" s="22">
        <f t="shared" si="9"/>
        <v>341.88967339951961</v>
      </c>
    </row>
    <row r="21" spans="1:21">
      <c r="A21" s="12">
        <v>120</v>
      </c>
      <c r="B21" s="13">
        <v>0</v>
      </c>
      <c r="C21" s="14">
        <v>6.7500000000000004E-2</v>
      </c>
      <c r="D21" s="37">
        <f>PMT(6.75%/12,A21,-1,0)</f>
        <v>1.148241144757158E-2</v>
      </c>
      <c r="E21" s="26">
        <f>$F$1*D21</f>
        <v>160.75376026600213</v>
      </c>
      <c r="F21" s="26">
        <f>$F$1*D21</f>
        <v>160.75376026600213</v>
      </c>
      <c r="G21" s="5">
        <v>24</v>
      </c>
      <c r="H21" s="6">
        <v>4.3999999999999997E-2</v>
      </c>
      <c r="I21" s="6">
        <v>0.03</v>
      </c>
      <c r="J21" s="8">
        <v>4.1666666666666664E-2</v>
      </c>
      <c r="K21" s="26">
        <f t="shared" si="10"/>
        <v>583.33333333333326</v>
      </c>
      <c r="L21" s="26">
        <f t="shared" si="11"/>
        <v>609</v>
      </c>
      <c r="M21" s="26">
        <f t="shared" si="12"/>
        <v>420</v>
      </c>
      <c r="N21" s="26">
        <f t="shared" si="13"/>
        <v>616</v>
      </c>
      <c r="P21" s="16">
        <v>6</v>
      </c>
      <c r="Q21" s="22">
        <f t="shared" si="8"/>
        <v>338.50462712823725</v>
      </c>
      <c r="T21" s="16">
        <v>6</v>
      </c>
      <c r="U21" s="22">
        <f t="shared" si="9"/>
        <v>341.88967339951961</v>
      </c>
    </row>
    <row r="22" spans="1:21">
      <c r="A22" s="12">
        <v>132</v>
      </c>
      <c r="B22" s="13">
        <v>0</v>
      </c>
      <c r="C22" s="14">
        <v>6.7500000000000004E-2</v>
      </c>
      <c r="D22" s="37">
        <f>PMT(6.75%/12,A22,-1,0)</f>
        <v>1.0753485757269227E-2</v>
      </c>
      <c r="E22" s="26">
        <f>$F$1*D22</f>
        <v>150.54880060176916</v>
      </c>
      <c r="F22" s="26">
        <f>$F$1*D22</f>
        <v>150.54880060176916</v>
      </c>
      <c r="G22" s="5">
        <v>36</v>
      </c>
      <c r="H22" s="6">
        <v>5.1999999999999998E-2</v>
      </c>
      <c r="I22" s="6">
        <v>5.5E-2</v>
      </c>
      <c r="J22" s="8">
        <v>2.7777777777777776E-2</v>
      </c>
      <c r="K22" s="26">
        <f t="shared" si="10"/>
        <v>388.88888888888886</v>
      </c>
      <c r="L22" s="26">
        <f t="shared" si="11"/>
        <v>409.11111111111109</v>
      </c>
      <c r="M22" s="26">
        <f t="shared" si="12"/>
        <v>770</v>
      </c>
      <c r="N22" s="26">
        <f t="shared" si="13"/>
        <v>728</v>
      </c>
      <c r="P22" s="16">
        <v>7</v>
      </c>
      <c r="Q22" s="22">
        <f t="shared" si="8"/>
        <v>338.50462712823725</v>
      </c>
      <c r="T22" s="16">
        <v>7</v>
      </c>
      <c r="U22" s="22">
        <f t="shared" si="9"/>
        <v>341.88967339951961</v>
      </c>
    </row>
    <row r="23" spans="1:21" ht="15" thickBot="1">
      <c r="A23" s="12">
        <v>144</v>
      </c>
      <c r="B23" s="13">
        <v>0</v>
      </c>
      <c r="C23" s="14">
        <v>6.7500000000000004E-2</v>
      </c>
      <c r="D23" s="37">
        <f>PMT(6.75%/12,A23,-1,0)</f>
        <v>1.0151026900513602E-2</v>
      </c>
      <c r="E23" s="26">
        <f>$F$1*D23</f>
        <v>142.11437660719042</v>
      </c>
      <c r="F23" s="26">
        <f>$F$1*D23</f>
        <v>142.11437660719042</v>
      </c>
      <c r="G23" s="5"/>
      <c r="H23" s="6"/>
      <c r="I23" s="6"/>
      <c r="J23" s="8"/>
      <c r="K23" s="26"/>
      <c r="L23" s="26"/>
      <c r="M23" s="26"/>
      <c r="N23" s="26"/>
      <c r="P23" s="16">
        <v>8</v>
      </c>
      <c r="Q23" s="22">
        <f t="shared" si="8"/>
        <v>338.50462712823725</v>
      </c>
      <c r="T23" s="16">
        <v>8</v>
      </c>
      <c r="U23" s="22">
        <f t="shared" si="9"/>
        <v>341.88967339951961</v>
      </c>
    </row>
    <row r="24" spans="1:21" ht="15" thickBot="1">
      <c r="B24" s="13"/>
      <c r="G24" s="78" t="s">
        <v>5</v>
      </c>
      <c r="H24" s="79"/>
      <c r="K24" s="26"/>
      <c r="L24" s="26"/>
      <c r="P24" s="16">
        <v>9</v>
      </c>
      <c r="Q24" s="22">
        <f t="shared" si="8"/>
        <v>338.50462712823725</v>
      </c>
      <c r="T24" s="16">
        <v>9</v>
      </c>
      <c r="U24" s="22">
        <f t="shared" si="9"/>
        <v>341.88967339951961</v>
      </c>
    </row>
    <row r="25" spans="1:21" ht="27" thickBot="1">
      <c r="G25" s="1" t="s">
        <v>0</v>
      </c>
      <c r="H25" s="1" t="s">
        <v>1</v>
      </c>
      <c r="I25" s="2" t="s">
        <v>2</v>
      </c>
      <c r="J25" s="1" t="s">
        <v>7</v>
      </c>
      <c r="K25" t="s">
        <v>23</v>
      </c>
      <c r="L25" t="s">
        <v>24</v>
      </c>
      <c r="M25" t="s">
        <v>25</v>
      </c>
      <c r="N25" t="s">
        <v>26</v>
      </c>
      <c r="P25" s="16">
        <v>10</v>
      </c>
      <c r="Q25" s="22">
        <f t="shared" si="8"/>
        <v>338.50462712823725</v>
      </c>
      <c r="T25" s="16">
        <v>10</v>
      </c>
      <c r="U25" s="22">
        <f t="shared" si="9"/>
        <v>341.88967339951961</v>
      </c>
    </row>
    <row r="26" spans="1:21">
      <c r="G26" s="3">
        <v>6</v>
      </c>
      <c r="H26" s="4">
        <v>0</v>
      </c>
      <c r="I26" s="4">
        <v>2.1499999999999998E-2</v>
      </c>
      <c r="J26" s="7">
        <v>0.16666666666666666</v>
      </c>
      <c r="K26" s="26">
        <f>$F$1*J26</f>
        <v>2333.333333333333</v>
      </c>
      <c r="L26" s="26">
        <f>$F$1*J26</f>
        <v>2333.333333333333</v>
      </c>
      <c r="M26" s="26">
        <f>$F$1*I26</f>
        <v>301</v>
      </c>
      <c r="N26" s="26">
        <f>$F$1*H26</f>
        <v>0</v>
      </c>
      <c r="P26" s="16">
        <v>11</v>
      </c>
      <c r="Q26" s="22">
        <f t="shared" si="8"/>
        <v>338.50462712823725</v>
      </c>
      <c r="T26" s="16">
        <v>11</v>
      </c>
      <c r="U26" s="22">
        <f t="shared" si="9"/>
        <v>341.88967339951961</v>
      </c>
    </row>
    <row r="27" spans="1:21">
      <c r="G27" s="5">
        <v>12</v>
      </c>
      <c r="H27" s="6">
        <v>0</v>
      </c>
      <c r="I27" s="6">
        <v>3.5000000000000003E-2</v>
      </c>
      <c r="J27" s="8">
        <v>8.3333333333333329E-2</v>
      </c>
      <c r="K27" s="26">
        <f t="shared" ref="K27:K30" si="14">$F$1*J27</f>
        <v>1166.6666666666665</v>
      </c>
      <c r="L27" s="26">
        <f t="shared" ref="L27:L30" si="15">$F$1*J27</f>
        <v>1166.6666666666665</v>
      </c>
      <c r="M27" s="26">
        <f t="shared" ref="M27:M30" si="16">$F$1*I27</f>
        <v>490.00000000000006</v>
      </c>
      <c r="N27" s="26">
        <f t="shared" ref="N27:N30" si="17">$F$1*H27</f>
        <v>0</v>
      </c>
      <c r="P27" s="16">
        <v>12</v>
      </c>
      <c r="Q27" s="22">
        <f t="shared" si="8"/>
        <v>338.50462712823725</v>
      </c>
      <c r="T27" s="16">
        <v>12</v>
      </c>
      <c r="U27" s="22">
        <f t="shared" si="9"/>
        <v>341.88967339951961</v>
      </c>
    </row>
    <row r="28" spans="1:21">
      <c r="G28" s="5">
        <v>18</v>
      </c>
      <c r="H28" s="6">
        <v>0</v>
      </c>
      <c r="I28" s="6">
        <v>0.05</v>
      </c>
      <c r="J28" s="8">
        <v>5.5555555555555552E-2</v>
      </c>
      <c r="K28" s="26">
        <f t="shared" si="14"/>
        <v>777.77777777777771</v>
      </c>
      <c r="L28" s="26">
        <f t="shared" si="15"/>
        <v>777.77777777777771</v>
      </c>
      <c r="M28" s="26">
        <f t="shared" si="16"/>
        <v>700</v>
      </c>
      <c r="N28" s="26">
        <f t="shared" si="17"/>
        <v>0</v>
      </c>
      <c r="P28" s="16">
        <v>13</v>
      </c>
      <c r="Q28" s="22">
        <f t="shared" si="8"/>
        <v>338.50462712823725</v>
      </c>
      <c r="T28" s="16">
        <v>13</v>
      </c>
      <c r="U28" s="22">
        <f t="shared" si="9"/>
        <v>341.88967339951961</v>
      </c>
    </row>
    <row r="29" spans="1:21">
      <c r="G29" s="5">
        <v>24</v>
      </c>
      <c r="H29" s="6">
        <v>0</v>
      </c>
      <c r="I29" s="6">
        <v>6.5000000000000002E-2</v>
      </c>
      <c r="J29" s="8">
        <v>4.1666666666666664E-2</v>
      </c>
      <c r="K29" s="26">
        <f t="shared" si="14"/>
        <v>583.33333333333326</v>
      </c>
      <c r="L29" s="26">
        <f t="shared" si="15"/>
        <v>583.33333333333326</v>
      </c>
      <c r="M29" s="26">
        <f t="shared" si="16"/>
        <v>910</v>
      </c>
      <c r="N29" s="26">
        <f t="shared" si="17"/>
        <v>0</v>
      </c>
      <c r="P29" s="16">
        <v>14</v>
      </c>
      <c r="Q29" s="22">
        <f t="shared" si="8"/>
        <v>338.50462712823725</v>
      </c>
      <c r="T29" s="16">
        <v>14</v>
      </c>
      <c r="U29" s="22">
        <f t="shared" si="9"/>
        <v>341.88967339951961</v>
      </c>
    </row>
    <row r="30" spans="1:21">
      <c r="G30" s="5">
        <v>36</v>
      </c>
      <c r="H30" s="6">
        <v>0</v>
      </c>
      <c r="I30" s="6">
        <v>9.4E-2</v>
      </c>
      <c r="J30" s="8">
        <v>2.7777777777777776E-2</v>
      </c>
      <c r="K30" s="26">
        <f t="shared" si="14"/>
        <v>388.88888888888886</v>
      </c>
      <c r="L30" s="26">
        <f t="shared" si="15"/>
        <v>388.88888888888886</v>
      </c>
      <c r="M30" s="26">
        <f t="shared" si="16"/>
        <v>1316</v>
      </c>
      <c r="N30" s="26">
        <f t="shared" si="17"/>
        <v>0</v>
      </c>
      <c r="P30" s="16">
        <v>15</v>
      </c>
      <c r="Q30" s="22">
        <f t="shared" si="8"/>
        <v>338.50462712823725</v>
      </c>
      <c r="T30" s="16">
        <v>15</v>
      </c>
      <c r="U30" s="22">
        <f t="shared" si="9"/>
        <v>341.88967339951961</v>
      </c>
    </row>
    <row r="31" spans="1:21">
      <c r="P31" s="16">
        <v>16</v>
      </c>
      <c r="Q31" s="22">
        <f t="shared" si="8"/>
        <v>338.50462712823725</v>
      </c>
      <c r="T31" s="16">
        <v>16</v>
      </c>
      <c r="U31" s="22">
        <f t="shared" si="9"/>
        <v>341.88967339951961</v>
      </c>
    </row>
    <row r="32" spans="1:21">
      <c r="G32" s="26"/>
      <c r="H32" s="26"/>
      <c r="I32" s="26"/>
      <c r="J32" s="26"/>
      <c r="K32" s="26"/>
      <c r="L32" s="26"/>
      <c r="M32" s="26"/>
      <c r="P32" s="16">
        <v>17</v>
      </c>
      <c r="Q32" s="22">
        <f t="shared" si="8"/>
        <v>338.50462712823725</v>
      </c>
      <c r="T32" s="16">
        <v>17</v>
      </c>
      <c r="U32" s="22">
        <f t="shared" si="9"/>
        <v>341.88967339951961</v>
      </c>
    </row>
    <row r="33" spans="7:21">
      <c r="G33" s="26"/>
      <c r="H33" s="26"/>
      <c r="I33" s="26"/>
      <c r="J33" s="26"/>
      <c r="K33" s="26"/>
      <c r="L33" s="26"/>
      <c r="M33" s="26"/>
      <c r="P33" s="16">
        <v>18</v>
      </c>
      <c r="Q33" s="22">
        <f t="shared" si="8"/>
        <v>338.50462712823725</v>
      </c>
      <c r="T33" s="16">
        <v>18</v>
      </c>
      <c r="U33" s="22">
        <f t="shared" si="9"/>
        <v>341.88967339951961</v>
      </c>
    </row>
    <row r="34" spans="7:21">
      <c r="G34" s="26"/>
      <c r="H34" s="26"/>
      <c r="I34" s="26"/>
      <c r="J34" s="26"/>
      <c r="K34" s="26"/>
      <c r="L34" s="26"/>
      <c r="M34" s="26"/>
      <c r="N34" s="26"/>
      <c r="P34" s="16">
        <v>19</v>
      </c>
      <c r="Q34" s="22">
        <f t="shared" si="8"/>
        <v>338.50462712823725</v>
      </c>
      <c r="T34" s="16">
        <v>19</v>
      </c>
      <c r="U34" s="22">
        <f t="shared" si="9"/>
        <v>341.88967339951961</v>
      </c>
    </row>
    <row r="35" spans="7:21">
      <c r="G35" s="26"/>
      <c r="H35" s="26"/>
      <c r="I35" s="26"/>
      <c r="J35" s="26"/>
      <c r="K35" s="26"/>
      <c r="L35" s="26"/>
      <c r="M35" s="26"/>
      <c r="N35" s="26"/>
      <c r="P35" s="16">
        <v>20</v>
      </c>
      <c r="Q35" s="22">
        <f t="shared" si="8"/>
        <v>338.50462712823725</v>
      </c>
      <c r="T35" s="16">
        <v>20</v>
      </c>
      <c r="U35" s="22">
        <f t="shared" si="9"/>
        <v>341.88967339951961</v>
      </c>
    </row>
    <row r="36" spans="7:21">
      <c r="G36" s="26"/>
      <c r="H36" s="26"/>
      <c r="I36" s="26"/>
      <c r="J36" s="26"/>
      <c r="K36" s="26"/>
      <c r="L36" s="26"/>
      <c r="M36" s="26"/>
      <c r="N36" s="26"/>
      <c r="P36" s="16">
        <v>21</v>
      </c>
      <c r="Q36" s="22">
        <f t="shared" si="8"/>
        <v>338.50462712823725</v>
      </c>
      <c r="T36" s="16">
        <v>21</v>
      </c>
      <c r="U36" s="22">
        <f t="shared" si="9"/>
        <v>341.88967339951961</v>
      </c>
    </row>
    <row r="37" spans="7:21">
      <c r="G37" s="26"/>
      <c r="H37" s="26"/>
      <c r="I37" s="26"/>
      <c r="J37" s="26"/>
      <c r="K37" s="26"/>
      <c r="L37" s="26"/>
      <c r="M37" s="26"/>
      <c r="N37" s="26"/>
      <c r="P37" s="16">
        <v>22</v>
      </c>
      <c r="Q37" s="22">
        <f t="shared" si="8"/>
        <v>338.50462712823725</v>
      </c>
      <c r="T37" s="16">
        <v>22</v>
      </c>
      <c r="U37" s="22">
        <f t="shared" si="9"/>
        <v>341.88967339951961</v>
      </c>
    </row>
    <row r="38" spans="7:21">
      <c r="G38" s="26"/>
      <c r="H38" s="26"/>
      <c r="I38" s="26"/>
      <c r="J38" s="26"/>
      <c r="K38" s="26"/>
      <c r="L38" s="26"/>
      <c r="M38" s="26"/>
      <c r="N38" s="26"/>
      <c r="P38" s="16">
        <v>23</v>
      </c>
      <c r="Q38" s="22">
        <f t="shared" si="8"/>
        <v>338.50462712823725</v>
      </c>
      <c r="T38" s="16">
        <v>23</v>
      </c>
      <c r="U38" s="22">
        <f t="shared" si="9"/>
        <v>341.88967339951961</v>
      </c>
    </row>
    <row r="39" spans="7:21">
      <c r="P39" s="16">
        <v>24</v>
      </c>
      <c r="Q39" s="22">
        <f t="shared" si="8"/>
        <v>338.50462712823725</v>
      </c>
      <c r="T39" s="16">
        <v>24</v>
      </c>
      <c r="U39" s="22">
        <f t="shared" si="9"/>
        <v>341.88967339951961</v>
      </c>
    </row>
    <row r="40" spans="7:21">
      <c r="P40" s="16">
        <v>25</v>
      </c>
      <c r="Q40" s="22">
        <f>+$Q$12</f>
        <v>313.43304755820401</v>
      </c>
      <c r="T40" s="16">
        <v>25</v>
      </c>
      <c r="U40" s="22">
        <f>+$U$12</f>
        <v>316.56737803378604</v>
      </c>
    </row>
    <row r="41" spans="7:21">
      <c r="P41" s="16">
        <v>26</v>
      </c>
      <c r="Q41" s="22">
        <f t="shared" ref="Q41:Q63" si="18">+$Q$12</f>
        <v>313.43304755820401</v>
      </c>
      <c r="T41" s="16">
        <v>26</v>
      </c>
      <c r="U41" s="22">
        <f t="shared" ref="U41:U63" si="19">+$U$12</f>
        <v>316.56737803378604</v>
      </c>
    </row>
    <row r="42" spans="7:21">
      <c r="P42" s="16">
        <v>27</v>
      </c>
      <c r="Q42" s="22">
        <f t="shared" si="18"/>
        <v>313.43304755820401</v>
      </c>
      <c r="T42" s="16">
        <v>27</v>
      </c>
      <c r="U42" s="22">
        <f t="shared" si="19"/>
        <v>316.56737803378604</v>
      </c>
    </row>
    <row r="43" spans="7:21">
      <c r="P43" s="16">
        <v>28</v>
      </c>
      <c r="Q43" s="22">
        <f t="shared" si="18"/>
        <v>313.43304755820401</v>
      </c>
      <c r="T43" s="16">
        <v>28</v>
      </c>
      <c r="U43" s="22">
        <f t="shared" si="19"/>
        <v>316.56737803378604</v>
      </c>
    </row>
    <row r="44" spans="7:21">
      <c r="P44" s="16">
        <v>29</v>
      </c>
      <c r="Q44" s="22">
        <f t="shared" si="18"/>
        <v>313.43304755820401</v>
      </c>
      <c r="T44" s="16">
        <v>29</v>
      </c>
      <c r="U44" s="22">
        <f t="shared" si="19"/>
        <v>316.56737803378604</v>
      </c>
    </row>
    <row r="45" spans="7:21">
      <c r="P45" s="16">
        <v>30</v>
      </c>
      <c r="Q45" s="22">
        <f t="shared" si="18"/>
        <v>313.43304755820401</v>
      </c>
      <c r="T45" s="16">
        <v>30</v>
      </c>
      <c r="U45" s="22">
        <f t="shared" si="19"/>
        <v>316.56737803378604</v>
      </c>
    </row>
    <row r="46" spans="7:21">
      <c r="P46" s="16">
        <v>31</v>
      </c>
      <c r="Q46" s="22">
        <f t="shared" si="18"/>
        <v>313.43304755820401</v>
      </c>
      <c r="T46" s="16">
        <v>31</v>
      </c>
      <c r="U46" s="22">
        <f t="shared" si="19"/>
        <v>316.56737803378604</v>
      </c>
    </row>
    <row r="47" spans="7:21">
      <c r="P47" s="16">
        <v>32</v>
      </c>
      <c r="Q47" s="22">
        <f t="shared" si="18"/>
        <v>313.43304755820401</v>
      </c>
      <c r="T47" s="16">
        <v>32</v>
      </c>
      <c r="U47" s="22">
        <f t="shared" si="19"/>
        <v>316.56737803378604</v>
      </c>
    </row>
    <row r="48" spans="7:21">
      <c r="P48" s="16">
        <v>33</v>
      </c>
      <c r="Q48" s="22">
        <f t="shared" si="18"/>
        <v>313.43304755820401</v>
      </c>
      <c r="T48" s="16">
        <v>33</v>
      </c>
      <c r="U48" s="22">
        <f t="shared" si="19"/>
        <v>316.56737803378604</v>
      </c>
    </row>
    <row r="49" spans="16:21">
      <c r="P49" s="16">
        <v>34</v>
      </c>
      <c r="Q49" s="22">
        <f t="shared" si="18"/>
        <v>313.43304755820401</v>
      </c>
      <c r="T49" s="16">
        <v>34</v>
      </c>
      <c r="U49" s="22">
        <f t="shared" si="19"/>
        <v>316.56737803378604</v>
      </c>
    </row>
    <row r="50" spans="16:21">
      <c r="P50" s="16">
        <v>35</v>
      </c>
      <c r="Q50" s="22">
        <f t="shared" si="18"/>
        <v>313.43304755820401</v>
      </c>
      <c r="T50" s="16">
        <v>35</v>
      </c>
      <c r="U50" s="22">
        <f t="shared" si="19"/>
        <v>316.56737803378604</v>
      </c>
    </row>
    <row r="51" spans="16:21">
      <c r="P51" s="16">
        <v>36</v>
      </c>
      <c r="Q51" s="22">
        <f t="shared" si="18"/>
        <v>313.43304755820401</v>
      </c>
      <c r="T51" s="16">
        <v>36</v>
      </c>
      <c r="U51" s="22">
        <f t="shared" si="19"/>
        <v>316.56737803378604</v>
      </c>
    </row>
    <row r="52" spans="16:21">
      <c r="P52" s="16">
        <v>37</v>
      </c>
      <c r="Q52" s="22">
        <f t="shared" si="18"/>
        <v>313.43304755820401</v>
      </c>
      <c r="T52" s="16">
        <v>37</v>
      </c>
      <c r="U52" s="22">
        <f t="shared" si="19"/>
        <v>316.56737803378604</v>
      </c>
    </row>
    <row r="53" spans="16:21">
      <c r="P53" s="16">
        <v>38</v>
      </c>
      <c r="Q53" s="22">
        <f t="shared" si="18"/>
        <v>313.43304755820401</v>
      </c>
      <c r="T53" s="16">
        <v>38</v>
      </c>
      <c r="U53" s="22">
        <f t="shared" si="19"/>
        <v>316.56737803378604</v>
      </c>
    </row>
    <row r="54" spans="16:21">
      <c r="P54" s="16">
        <v>39</v>
      </c>
      <c r="Q54" s="22">
        <f t="shared" si="18"/>
        <v>313.43304755820401</v>
      </c>
      <c r="T54" s="16">
        <v>39</v>
      </c>
      <c r="U54" s="22">
        <f t="shared" si="19"/>
        <v>316.56737803378604</v>
      </c>
    </row>
    <row r="55" spans="16:21">
      <c r="P55" s="16">
        <v>40</v>
      </c>
      <c r="Q55" s="22">
        <f t="shared" si="18"/>
        <v>313.43304755820401</v>
      </c>
      <c r="T55" s="16">
        <v>40</v>
      </c>
      <c r="U55" s="22">
        <f t="shared" si="19"/>
        <v>316.56737803378604</v>
      </c>
    </row>
    <row r="56" spans="16:21">
      <c r="P56" s="16">
        <v>41</v>
      </c>
      <c r="Q56" s="22">
        <f t="shared" si="18"/>
        <v>313.43304755820401</v>
      </c>
      <c r="T56" s="16">
        <v>41</v>
      </c>
      <c r="U56" s="22">
        <f t="shared" si="19"/>
        <v>316.56737803378604</v>
      </c>
    </row>
    <row r="57" spans="16:21">
      <c r="P57" s="16">
        <v>42</v>
      </c>
      <c r="Q57" s="22">
        <f t="shared" si="18"/>
        <v>313.43304755820401</v>
      </c>
      <c r="T57" s="16">
        <v>42</v>
      </c>
      <c r="U57" s="22">
        <f t="shared" si="19"/>
        <v>316.56737803378604</v>
      </c>
    </row>
    <row r="58" spans="16:21">
      <c r="P58" s="16">
        <v>43</v>
      </c>
      <c r="Q58" s="22">
        <f t="shared" si="18"/>
        <v>313.43304755820401</v>
      </c>
      <c r="T58" s="16">
        <v>43</v>
      </c>
      <c r="U58" s="22">
        <f t="shared" si="19"/>
        <v>316.56737803378604</v>
      </c>
    </row>
    <row r="59" spans="16:21">
      <c r="P59" s="16">
        <v>44</v>
      </c>
      <c r="Q59" s="22">
        <f t="shared" si="18"/>
        <v>313.43304755820401</v>
      </c>
      <c r="T59" s="16">
        <v>44</v>
      </c>
      <c r="U59" s="22">
        <f t="shared" si="19"/>
        <v>316.56737803378604</v>
      </c>
    </row>
    <row r="60" spans="16:21">
      <c r="P60" s="16">
        <v>45</v>
      </c>
      <c r="Q60" s="22">
        <f t="shared" si="18"/>
        <v>313.43304755820401</v>
      </c>
      <c r="T60" s="16">
        <v>45</v>
      </c>
      <c r="U60" s="22">
        <f t="shared" si="19"/>
        <v>316.56737803378604</v>
      </c>
    </row>
    <row r="61" spans="16:21">
      <c r="P61" s="16">
        <v>46</v>
      </c>
      <c r="Q61" s="22">
        <f t="shared" si="18"/>
        <v>313.43304755820401</v>
      </c>
      <c r="T61" s="16">
        <v>46</v>
      </c>
      <c r="U61" s="22">
        <f t="shared" si="19"/>
        <v>316.56737803378604</v>
      </c>
    </row>
    <row r="62" spans="16:21">
      <c r="P62" s="16">
        <v>47</v>
      </c>
      <c r="Q62" s="22">
        <f t="shared" si="18"/>
        <v>313.43304755820401</v>
      </c>
      <c r="T62" s="16">
        <v>47</v>
      </c>
      <c r="U62" s="22">
        <f t="shared" si="19"/>
        <v>316.56737803378604</v>
      </c>
    </row>
    <row r="63" spans="16:21">
      <c r="P63" s="16">
        <v>48</v>
      </c>
      <c r="Q63" s="22">
        <f t="shared" si="18"/>
        <v>313.43304755820401</v>
      </c>
      <c r="T63" s="16">
        <v>48</v>
      </c>
      <c r="U63" s="22">
        <f t="shared" si="19"/>
        <v>316.56737803378604</v>
      </c>
    </row>
  </sheetData>
  <sheetProtection algorithmName="SHA-512" hashValue="Lg4LCLo/qR7f6CmUNegobtgPsFsgKh4HgRUaKnQJ3K677wHoynV0NgR841lcd0EvurIn/Eh8b3vv1oWPxzGOiA==" saltValue="qvppqEzhsifno4wjdYPw3Q==" spinCount="100000" sheet="1" objects="1" scenarios="1"/>
  <mergeCells count="4">
    <mergeCell ref="G8:H8"/>
    <mergeCell ref="G16:H16"/>
    <mergeCell ref="G24:H24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SUANIER - BBVA</vt:lpstr>
      <vt:lpstr>Hoja1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AGUAYO DELGADO ,JOSE JAVIER</dc:creator>
  <cp:lastModifiedBy>Roda, Iurdana</cp:lastModifiedBy>
  <dcterms:created xsi:type="dcterms:W3CDTF">2022-06-08T05:05:54Z</dcterms:created>
  <dcterms:modified xsi:type="dcterms:W3CDTF">2024-06-17T09:30:38Z</dcterms:modified>
</cp:coreProperties>
</file>